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https://d.docs.live.net/cc49a6f129e4d962/เอกสาร/"/>
    </mc:Choice>
  </mc:AlternateContent>
  <xr:revisionPtr revIDLastSave="1" documentId="13_ncr:1_{A4C73B08-9CED-42C7-88F4-1FC244C39E6E}" xr6:coauthVersionLast="47" xr6:coauthVersionMax="47" xr10:uidLastSave="{C6DEC440-0DAB-4B2E-A0C0-C27623C8F5CC}"/>
  <bookViews>
    <workbookView xWindow="-110" yWindow="-110" windowWidth="19420" windowHeight="10420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3">เชียงใหม่!$1:$6</definedName>
    <definedName name="_xlnm.Print_Titles" localSheetId="2">เชียงราย!$1:$6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1">กำแพงเพชร!$1:$6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35" i="18" l="1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6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3" i="18"/>
  <c r="I563" i="18"/>
  <c r="J562" i="18"/>
  <c r="I562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M331" i="18" s="1"/>
  <c r="O332" i="18"/>
  <c r="N330" i="18"/>
  <c r="M330" i="18"/>
  <c r="P330" i="18" s="1"/>
  <c r="L330" i="18"/>
  <c r="O330" i="18" s="1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L316" i="18"/>
  <c r="L315" i="18"/>
  <c r="N314" i="18"/>
  <c r="M314" i="18"/>
  <c r="M312" i="18" s="1"/>
  <c r="O313" i="18"/>
  <c r="N311" i="18"/>
  <c r="M311" i="18"/>
  <c r="P311" i="18" s="1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P291" i="18"/>
  <c r="N291" i="18"/>
  <c r="M291" i="18"/>
  <c r="L291" i="18"/>
  <c r="O291" i="18" s="1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N272" i="18"/>
  <c r="M272" i="18"/>
  <c r="L272" i="18"/>
  <c r="O272" i="18" s="1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L256" i="18"/>
  <c r="L255" i="18"/>
  <c r="N254" i="18"/>
  <c r="M254" i="18"/>
  <c r="M252" i="18" s="1"/>
  <c r="O253" i="18"/>
  <c r="N251" i="18"/>
  <c r="M251" i="18"/>
  <c r="P251" i="18" s="1"/>
  <c r="L251" i="18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N221" i="18"/>
  <c r="M221" i="18"/>
  <c r="P221" i="18" s="1"/>
  <c r="L221" i="18"/>
  <c r="O221" i="18" s="1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O143" i="18"/>
  <c r="P141" i="18"/>
  <c r="N141" i="18"/>
  <c r="M141" i="18"/>
  <c r="L141" i="18"/>
  <c r="O141" i="18" s="1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L124" i="18"/>
  <c r="L123" i="18"/>
  <c r="N122" i="18"/>
  <c r="M122" i="18"/>
  <c r="O121" i="18"/>
  <c r="P119" i="18"/>
  <c r="N119" i="18"/>
  <c r="M119" i="18"/>
  <c r="L119" i="18"/>
  <c r="O119" i="18" s="1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L100" i="18"/>
  <c r="L99" i="18"/>
  <c r="N98" i="18"/>
  <c r="M98" i="18"/>
  <c r="M96" i="18" s="1"/>
  <c r="M94" i="18" s="1"/>
  <c r="O97" i="18"/>
  <c r="P95" i="18"/>
  <c r="N95" i="18"/>
  <c r="M95" i="18"/>
  <c r="L95" i="18"/>
  <c r="O95" i="18" s="1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O69" i="18"/>
  <c r="O67" i="18"/>
  <c r="N67" i="18"/>
  <c r="M67" i="18"/>
  <c r="P67" i="18" s="1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N54" i="18"/>
  <c r="M54" i="18"/>
  <c r="L54" i="18"/>
  <c r="O54" i="18" s="1"/>
  <c r="N49" i="18"/>
  <c r="L49" i="18"/>
  <c r="O49" i="18" s="1"/>
  <c r="L47" i="18"/>
  <c r="L46" i="18"/>
  <c r="N45" i="18"/>
  <c r="M45" i="18"/>
  <c r="P42" i="18"/>
  <c r="N42" i="18"/>
  <c r="M42" i="18"/>
  <c r="L42" i="18"/>
  <c r="O42" i="18" s="1"/>
  <c r="P36" i="18"/>
  <c r="O36" i="18"/>
  <c r="P35" i="18"/>
  <c r="O35" i="18"/>
  <c r="M34" i="18"/>
  <c r="P34" i="18" s="1"/>
  <c r="M33" i="18"/>
  <c r="P33" i="18" s="1"/>
  <c r="M32" i="18"/>
  <c r="P32" i="18" s="1"/>
  <c r="P31" i="18"/>
  <c r="M31" i="18"/>
  <c r="M30" i="18"/>
  <c r="P30" i="18" s="1"/>
  <c r="P29" i="18"/>
  <c r="M29" i="18"/>
  <c r="M26" i="18"/>
  <c r="P26" i="18" s="1"/>
  <c r="N25" i="18"/>
  <c r="M25" i="18"/>
  <c r="P25" i="18" s="1"/>
  <c r="L25" i="18"/>
  <c r="O25" i="18" s="1"/>
  <c r="N24" i="18"/>
  <c r="M24" i="18"/>
  <c r="M14" i="18" s="1"/>
  <c r="P14" i="18" s="1"/>
  <c r="N23" i="18"/>
  <c r="M23" i="18"/>
  <c r="M13" i="18" s="1"/>
  <c r="P13" i="18" s="1"/>
  <c r="N21" i="18"/>
  <c r="M21" i="18"/>
  <c r="P21" i="18" s="1"/>
  <c r="L21" i="18"/>
  <c r="O21" i="18" s="1"/>
  <c r="M19" i="18"/>
  <c r="P19" i="18" s="1"/>
  <c r="L19" i="18"/>
  <c r="N15" i="18"/>
  <c r="L15" i="18"/>
  <c r="O15" i="18" s="1"/>
  <c r="M11" i="18"/>
  <c r="P11" i="18" s="1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3" i="17"/>
  <c r="I563" i="17"/>
  <c r="J562" i="17"/>
  <c r="I562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P330" i="17"/>
  <c r="N330" i="17"/>
  <c r="M330" i="17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N311" i="17"/>
  <c r="M311" i="17"/>
  <c r="P311" i="17" s="1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N291" i="17"/>
  <c r="M291" i="17"/>
  <c r="P291" i="17" s="1"/>
  <c r="L291" i="17"/>
  <c r="O291" i="17" s="1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P275" i="17" s="1"/>
  <c r="O274" i="17"/>
  <c r="O272" i="17"/>
  <c r="N272" i="17"/>
  <c r="M272" i="17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N251" i="17"/>
  <c r="M251" i="17"/>
  <c r="P251" i="17" s="1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O223" i="17"/>
  <c r="N221" i="17"/>
  <c r="M221" i="17"/>
  <c r="P221" i="17" s="1"/>
  <c r="L221" i="17"/>
  <c r="O221" i="17" s="1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O143" i="17"/>
  <c r="N141" i="17"/>
  <c r="M141" i="17"/>
  <c r="P141" i="17" s="1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L124" i="17"/>
  <c r="L123" i="17"/>
  <c r="N122" i="17"/>
  <c r="M122" i="17"/>
  <c r="M120" i="17" s="1"/>
  <c r="O121" i="17"/>
  <c r="P119" i="17"/>
  <c r="N119" i="17"/>
  <c r="M119" i="17"/>
  <c r="L119" i="17"/>
  <c r="O119" i="17" s="1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M96" i="17" s="1"/>
  <c r="O97" i="17"/>
  <c r="N95" i="17"/>
  <c r="M95" i="17"/>
  <c r="P95" i="17" s="1"/>
  <c r="L95" i="17"/>
  <c r="O95" i="17" s="1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O74" i="17" s="1"/>
  <c r="L72" i="17"/>
  <c r="L71" i="17"/>
  <c r="N70" i="17"/>
  <c r="M70" i="17"/>
  <c r="M68" i="17" s="1"/>
  <c r="P68" i="17" s="1"/>
  <c r="O69" i="17"/>
  <c r="N67" i="17"/>
  <c r="M67" i="17"/>
  <c r="P67" i="17" s="1"/>
  <c r="L67" i="17"/>
  <c r="O67" i="17" s="1"/>
  <c r="J65" i="17"/>
  <c r="I65" i="17"/>
  <c r="K65" i="17" s="1"/>
  <c r="J64" i="17"/>
  <c r="I64" i="17"/>
  <c r="K64" i="17" s="1"/>
  <c r="N61" i="17"/>
  <c r="L61" i="17"/>
  <c r="O61" i="17" s="1"/>
  <c r="L59" i="17"/>
  <c r="L58" i="17"/>
  <c r="N57" i="17"/>
  <c r="M57" i="17"/>
  <c r="N54" i="17"/>
  <c r="M54" i="17"/>
  <c r="P54" i="17" s="1"/>
  <c r="L54" i="17"/>
  <c r="O54" i="17" s="1"/>
  <c r="N49" i="17"/>
  <c r="L49" i="17"/>
  <c r="L47" i="17"/>
  <c r="L46" i="17"/>
  <c r="N45" i="17"/>
  <c r="M45" i="17"/>
  <c r="P42" i="17"/>
  <c r="O42" i="17"/>
  <c r="N42" i="17"/>
  <c r="M42" i="17"/>
  <c r="L42" i="17"/>
  <c r="P36" i="17"/>
  <c r="O36" i="17"/>
  <c r="P35" i="17"/>
  <c r="O35" i="17"/>
  <c r="M34" i="17"/>
  <c r="P34" i="17" s="1"/>
  <c r="M33" i="17"/>
  <c r="P33" i="17" s="1"/>
  <c r="P32" i="17"/>
  <c r="M32" i="17"/>
  <c r="M30" i="17" s="1"/>
  <c r="P30" i="17" s="1"/>
  <c r="M31" i="17"/>
  <c r="M29" i="17" s="1"/>
  <c r="P29" i="17" s="1"/>
  <c r="M26" i="17"/>
  <c r="P26" i="17" s="1"/>
  <c r="N25" i="17"/>
  <c r="M25" i="17"/>
  <c r="P25" i="17" s="1"/>
  <c r="L25" i="17"/>
  <c r="O25" i="17" s="1"/>
  <c r="N24" i="17"/>
  <c r="M24" i="17"/>
  <c r="N23" i="17"/>
  <c r="M23" i="17"/>
  <c r="P23" i="17" s="1"/>
  <c r="N21" i="17"/>
  <c r="N19" i="17" s="1"/>
  <c r="M21" i="17"/>
  <c r="L21" i="17"/>
  <c r="O21" i="17" s="1"/>
  <c r="N15" i="17"/>
  <c r="L15" i="17"/>
  <c r="O15" i="17" s="1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5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3" i="16"/>
  <c r="I563" i="16"/>
  <c r="J562" i="16"/>
  <c r="I562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K499" i="16" s="1"/>
  <c r="J498" i="16"/>
  <c r="I498" i="16"/>
  <c r="K498" i="16" s="1"/>
  <c r="J497" i="16"/>
  <c r="I497" i="16"/>
  <c r="K497" i="16" s="1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O337" i="16" s="1"/>
  <c r="L335" i="16"/>
  <c r="L334" i="16"/>
  <c r="N333" i="16"/>
  <c r="M333" i="16"/>
  <c r="M331" i="16" s="1"/>
  <c r="O332" i="16"/>
  <c r="O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O313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P294" i="16" s="1"/>
  <c r="O293" i="16"/>
  <c r="N291" i="16"/>
  <c r="M291" i="16"/>
  <c r="P291" i="16" s="1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O274" i="16"/>
  <c r="P272" i="16"/>
  <c r="N272" i="16"/>
  <c r="M272" i="16"/>
  <c r="L272" i="16"/>
  <c r="O272" i="16" s="1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O253" i="16"/>
  <c r="N251" i="16"/>
  <c r="M251" i="16"/>
  <c r="L251" i="16"/>
  <c r="O251" i="16" s="1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N221" i="16"/>
  <c r="M221" i="16"/>
  <c r="P221" i="16" s="1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O141" i="16"/>
  <c r="N141" i="16"/>
  <c r="M141" i="16"/>
  <c r="L141" i="16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N119" i="16"/>
  <c r="M119" i="16"/>
  <c r="P119" i="16" s="1"/>
  <c r="L119" i="16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O97" i="16"/>
  <c r="N95" i="16"/>
  <c r="M95" i="16"/>
  <c r="P95" i="16" s="1"/>
  <c r="L95" i="16"/>
  <c r="O95" i="16" s="1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L72" i="16"/>
  <c r="L71" i="16"/>
  <c r="N70" i="16"/>
  <c r="M70" i="16"/>
  <c r="M68" i="16" s="1"/>
  <c r="O69" i="16"/>
  <c r="N67" i="16"/>
  <c r="M67" i="16"/>
  <c r="P67" i="16" s="1"/>
  <c r="L67" i="16"/>
  <c r="O67" i="16" s="1"/>
  <c r="J65" i="16"/>
  <c r="I65" i="16"/>
  <c r="J64" i="16"/>
  <c r="I64" i="16"/>
  <c r="N61" i="16"/>
  <c r="L61" i="16"/>
  <c r="O61" i="16" s="1"/>
  <c r="L59" i="16"/>
  <c r="L58" i="16"/>
  <c r="N57" i="16"/>
  <c r="M57" i="16"/>
  <c r="N54" i="16"/>
  <c r="M54" i="16"/>
  <c r="P54" i="16" s="1"/>
  <c r="L54" i="16"/>
  <c r="O54" i="16" s="1"/>
  <c r="N49" i="16"/>
  <c r="L49" i="16"/>
  <c r="L47" i="16"/>
  <c r="L46" i="16"/>
  <c r="N45" i="16"/>
  <c r="M45" i="16"/>
  <c r="M43" i="16" s="1"/>
  <c r="N42" i="16"/>
  <c r="M42" i="16"/>
  <c r="P42" i="16" s="1"/>
  <c r="L42" i="16"/>
  <c r="O42" i="16" s="1"/>
  <c r="P36" i="16"/>
  <c r="O36" i="16"/>
  <c r="P35" i="16"/>
  <c r="O35" i="16"/>
  <c r="M34" i="16"/>
  <c r="P33" i="16"/>
  <c r="M33" i="16"/>
  <c r="M32" i="16"/>
  <c r="P32" i="16" s="1"/>
  <c r="P31" i="16"/>
  <c r="M31" i="16"/>
  <c r="M29" i="16" s="1"/>
  <c r="P29" i="16" s="1"/>
  <c r="P26" i="16"/>
  <c r="M26" i="16"/>
  <c r="O25" i="16"/>
  <c r="N25" i="16"/>
  <c r="M25" i="16"/>
  <c r="P25" i="16" s="1"/>
  <c r="L25" i="16"/>
  <c r="N24" i="16"/>
  <c r="M24" i="16"/>
  <c r="P24" i="16" s="1"/>
  <c r="N23" i="16"/>
  <c r="M23" i="16"/>
  <c r="P21" i="16"/>
  <c r="N21" i="16"/>
  <c r="M21" i="16"/>
  <c r="M19" i="16" s="1"/>
  <c r="P19" i="16" s="1"/>
  <c r="L21" i="16"/>
  <c r="O21" i="16" s="1"/>
  <c r="O19" i="16"/>
  <c r="N19" i="16"/>
  <c r="L19" i="16"/>
  <c r="M16" i="16"/>
  <c r="P16" i="16" s="1"/>
  <c r="N15" i="16"/>
  <c r="L15" i="16"/>
  <c r="O15" i="16" s="1"/>
  <c r="M11" i="16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1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3" i="15"/>
  <c r="I563" i="15"/>
  <c r="J562" i="15"/>
  <c r="I562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P330" i="15"/>
  <c r="N330" i="15"/>
  <c r="M330" i="15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L316" i="15"/>
  <c r="L315" i="15"/>
  <c r="N314" i="15"/>
  <c r="M314" i="15"/>
  <c r="O313" i="15"/>
  <c r="N311" i="15"/>
  <c r="M311" i="15"/>
  <c r="P311" i="15" s="1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P294" i="15" s="1"/>
  <c r="O293" i="15"/>
  <c r="N291" i="15"/>
  <c r="M291" i="15"/>
  <c r="P291" i="15" s="1"/>
  <c r="L291" i="15"/>
  <c r="O291" i="15" s="1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L277" i="15"/>
  <c r="L276" i="15"/>
  <c r="N275" i="15"/>
  <c r="M275" i="15"/>
  <c r="M273" i="15" s="1"/>
  <c r="O274" i="15"/>
  <c r="O272" i="15"/>
  <c r="N272" i="15"/>
  <c r="M272" i="15"/>
  <c r="P272" i="15" s="1"/>
  <c r="L272" i="15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L256" i="15"/>
  <c r="L255" i="15"/>
  <c r="N254" i="15"/>
  <c r="M254" i="15"/>
  <c r="O253" i="15"/>
  <c r="N251" i="15"/>
  <c r="M251" i="15"/>
  <c r="P251" i="15" s="1"/>
  <c r="L251" i="15"/>
  <c r="O251" i="15" s="1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N221" i="15"/>
  <c r="M221" i="15"/>
  <c r="P221" i="15" s="1"/>
  <c r="L221" i="15"/>
  <c r="O221" i="15" s="1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L146" i="15"/>
  <c r="L145" i="15"/>
  <c r="N144" i="15"/>
  <c r="M144" i="15"/>
  <c r="M142" i="15" s="1"/>
  <c r="O143" i="15"/>
  <c r="P141" i="15"/>
  <c r="N141" i="15"/>
  <c r="M141" i="15"/>
  <c r="L141" i="15"/>
  <c r="O141" i="15" s="1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O119" i="15"/>
  <c r="N119" i="15"/>
  <c r="M119" i="15"/>
  <c r="P119" i="15" s="1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O95" i="15"/>
  <c r="N95" i="15"/>
  <c r="M95" i="15"/>
  <c r="P95" i="15" s="1"/>
  <c r="L95" i="15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O69" i="15"/>
  <c r="N67" i="15"/>
  <c r="M67" i="15"/>
  <c r="L67" i="15"/>
  <c r="O67" i="15" s="1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N54" i="15"/>
  <c r="M54" i="15"/>
  <c r="P54" i="15" s="1"/>
  <c r="L54" i="15"/>
  <c r="O54" i="15" s="1"/>
  <c r="N49" i="15"/>
  <c r="L49" i="15"/>
  <c r="O49" i="15" s="1"/>
  <c r="L47" i="15"/>
  <c r="L46" i="15"/>
  <c r="N45" i="15"/>
  <c r="M45" i="15"/>
  <c r="O42" i="15"/>
  <c r="N42" i="15"/>
  <c r="M42" i="15"/>
  <c r="P42" i="15" s="1"/>
  <c r="L42" i="15"/>
  <c r="P36" i="15"/>
  <c r="O36" i="15"/>
  <c r="P35" i="15"/>
  <c r="O35" i="15"/>
  <c r="P34" i="15"/>
  <c r="M34" i="15"/>
  <c r="M33" i="15"/>
  <c r="P33" i="15" s="1"/>
  <c r="P32" i="15"/>
  <c r="M32" i="15"/>
  <c r="M30" i="15" s="1"/>
  <c r="P30" i="15" s="1"/>
  <c r="M31" i="15"/>
  <c r="P31" i="15" s="1"/>
  <c r="M26" i="15"/>
  <c r="P26" i="15" s="1"/>
  <c r="N25" i="15"/>
  <c r="N15" i="15" s="1"/>
  <c r="M25" i="15"/>
  <c r="M15" i="15" s="1"/>
  <c r="P15" i="15" s="1"/>
  <c r="L25" i="15"/>
  <c r="O25" i="15" s="1"/>
  <c r="N24" i="15"/>
  <c r="M24" i="15"/>
  <c r="N23" i="15"/>
  <c r="M23" i="15"/>
  <c r="M13" i="15" s="1"/>
  <c r="P13" i="15" s="1"/>
  <c r="P21" i="15"/>
  <c r="N21" i="15"/>
  <c r="N19" i="15" s="1"/>
  <c r="M21" i="15"/>
  <c r="M11" i="15" s="1"/>
  <c r="P11" i="15" s="1"/>
  <c r="L21" i="15"/>
  <c r="M16" i="15"/>
  <c r="P16" i="15" s="1"/>
  <c r="L15" i="15"/>
  <c r="O15" i="15" s="1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3" i="14"/>
  <c r="I563" i="14"/>
  <c r="J562" i="14"/>
  <c r="I562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M331" i="14" s="1"/>
  <c r="O332" i="14"/>
  <c r="P330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L316" i="14"/>
  <c r="L315" i="14"/>
  <c r="N314" i="14"/>
  <c r="M314" i="14"/>
  <c r="P314" i="14" s="1"/>
  <c r="O313" i="14"/>
  <c r="N311" i="14"/>
  <c r="M311" i="14"/>
  <c r="P311" i="14" s="1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N291" i="14"/>
  <c r="M291" i="14"/>
  <c r="P291" i="14" s="1"/>
  <c r="L291" i="14"/>
  <c r="O291" i="14" s="1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P272" i="14"/>
  <c r="N272" i="14"/>
  <c r="M272" i="14"/>
  <c r="L272" i="14"/>
  <c r="O272" i="14" s="1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N251" i="14"/>
  <c r="M251" i="14"/>
  <c r="P251" i="14" s="1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N221" i="14"/>
  <c r="M221" i="14"/>
  <c r="P221" i="14" s="1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P141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N119" i="14"/>
  <c r="M119" i="14"/>
  <c r="P119" i="14" s="1"/>
  <c r="L119" i="14"/>
  <c r="O119" i="14" s="1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L100" i="14"/>
  <c r="L99" i="14"/>
  <c r="N98" i="14"/>
  <c r="M98" i="14"/>
  <c r="M96" i="14" s="1"/>
  <c r="O97" i="14"/>
  <c r="O95" i="14"/>
  <c r="N95" i="14"/>
  <c r="M95" i="14"/>
  <c r="L95" i="14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L72" i="14"/>
  <c r="L71" i="14"/>
  <c r="N70" i="14"/>
  <c r="M70" i="14"/>
  <c r="O69" i="14"/>
  <c r="N67" i="14"/>
  <c r="M67" i="14"/>
  <c r="P67" i="14" s="1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N54" i="14"/>
  <c r="M54" i="14"/>
  <c r="L54" i="14"/>
  <c r="O54" i="14" s="1"/>
  <c r="N49" i="14"/>
  <c r="L49" i="14"/>
  <c r="O49" i="14" s="1"/>
  <c r="L47" i="14"/>
  <c r="L46" i="14"/>
  <c r="N45" i="14"/>
  <c r="M45" i="14"/>
  <c r="M43" i="14" s="1"/>
  <c r="N42" i="14"/>
  <c r="M42" i="14"/>
  <c r="P42" i="14" s="1"/>
  <c r="L42" i="14"/>
  <c r="O42" i="14" s="1"/>
  <c r="P36" i="14"/>
  <c r="O36" i="14"/>
  <c r="P35" i="14"/>
  <c r="O35" i="14"/>
  <c r="M34" i="14"/>
  <c r="P34" i="14" s="1"/>
  <c r="P33" i="14"/>
  <c r="M33" i="14"/>
  <c r="M32" i="14"/>
  <c r="P32" i="14" s="1"/>
  <c r="P31" i="14"/>
  <c r="M31" i="14"/>
  <c r="M29" i="14" s="1"/>
  <c r="P29" i="14" s="1"/>
  <c r="M26" i="14"/>
  <c r="M16" i="14" s="1"/>
  <c r="P16" i="14" s="1"/>
  <c r="O25" i="14"/>
  <c r="N25" i="14"/>
  <c r="M25" i="14"/>
  <c r="P25" i="14" s="1"/>
  <c r="L25" i="14"/>
  <c r="N24" i="14"/>
  <c r="M24" i="14"/>
  <c r="M14" i="14" s="1"/>
  <c r="P14" i="14" s="1"/>
  <c r="N23" i="14"/>
  <c r="M23" i="14"/>
  <c r="P23" i="14" s="1"/>
  <c r="O21" i="14"/>
  <c r="N21" i="14"/>
  <c r="N19" i="14" s="1"/>
  <c r="M21" i="14"/>
  <c r="P21" i="14" s="1"/>
  <c r="L21" i="14"/>
  <c r="L19" i="14"/>
  <c r="O19" i="14" s="1"/>
  <c r="N15" i="14"/>
  <c r="L15" i="14"/>
  <c r="O15" i="14" s="1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5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3" i="13"/>
  <c r="I563" i="13"/>
  <c r="J562" i="13"/>
  <c r="I562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L335" i="13"/>
  <c r="L334" i="13"/>
  <c r="N333" i="13"/>
  <c r="M333" i="13"/>
  <c r="M331" i="13" s="1"/>
  <c r="O332" i="13"/>
  <c r="O330" i="13"/>
  <c r="N330" i="13"/>
  <c r="M330" i="13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N311" i="13"/>
  <c r="M311" i="13"/>
  <c r="P311" i="13" s="1"/>
  <c r="L311" i="13"/>
  <c r="O311" i="13" s="1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N291" i="13"/>
  <c r="M291" i="13"/>
  <c r="P291" i="13" s="1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P272" i="13"/>
  <c r="N272" i="13"/>
  <c r="M272" i="13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N251" i="13"/>
  <c r="M251" i="13"/>
  <c r="P251" i="13" s="1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N221" i="13"/>
  <c r="M221" i="13"/>
  <c r="P221" i="13" s="1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O141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O121" i="13"/>
  <c r="N119" i="13"/>
  <c r="M119" i="13"/>
  <c r="P119" i="13" s="1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O97" i="13"/>
  <c r="O95" i="13"/>
  <c r="N95" i="13"/>
  <c r="M95" i="13"/>
  <c r="P95" i="13" s="1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N67" i="13"/>
  <c r="M67" i="13"/>
  <c r="P67" i="13" s="1"/>
  <c r="L67" i="13"/>
  <c r="O67" i="13" s="1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N54" i="13"/>
  <c r="M54" i="13"/>
  <c r="P54" i="13" s="1"/>
  <c r="L54" i="13"/>
  <c r="O54" i="13" s="1"/>
  <c r="N49" i="13"/>
  <c r="L49" i="13"/>
  <c r="O49" i="13" s="1"/>
  <c r="L47" i="13"/>
  <c r="L46" i="13"/>
  <c r="N45" i="13"/>
  <c r="M45" i="13"/>
  <c r="M43" i="13" s="1"/>
  <c r="N42" i="13"/>
  <c r="M42" i="13"/>
  <c r="P42" i="13" s="1"/>
  <c r="L42" i="13"/>
  <c r="P36" i="13"/>
  <c r="O36" i="13"/>
  <c r="P35" i="13"/>
  <c r="O35" i="13"/>
  <c r="M34" i="13"/>
  <c r="P34" i="13" s="1"/>
  <c r="P33" i="13"/>
  <c r="M33" i="13"/>
  <c r="M32" i="13"/>
  <c r="P32" i="13" s="1"/>
  <c r="P31" i="13"/>
  <c r="M31" i="13"/>
  <c r="M29" i="13" s="1"/>
  <c r="M26" i="13"/>
  <c r="P26" i="13" s="1"/>
  <c r="O25" i="13"/>
  <c r="N25" i="13"/>
  <c r="M25" i="13"/>
  <c r="P25" i="13" s="1"/>
  <c r="L25" i="13"/>
  <c r="L15" i="13" s="1"/>
  <c r="O15" i="13" s="1"/>
  <c r="P24" i="13"/>
  <c r="N24" i="13"/>
  <c r="M24" i="13"/>
  <c r="N23" i="13"/>
  <c r="M23" i="13"/>
  <c r="P23" i="13" s="1"/>
  <c r="O21" i="13"/>
  <c r="N21" i="13"/>
  <c r="N19" i="13" s="1"/>
  <c r="M21" i="13"/>
  <c r="P21" i="13" s="1"/>
  <c r="L21" i="13"/>
  <c r="M16" i="13"/>
  <c r="P16" i="13" s="1"/>
  <c r="N15" i="13"/>
  <c r="M14" i="13"/>
  <c r="P14" i="13" s="1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5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3" i="12"/>
  <c r="I563" i="12"/>
  <c r="J562" i="12"/>
  <c r="I562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O332" i="12"/>
  <c r="N330" i="12"/>
  <c r="M330" i="12"/>
  <c r="P330" i="12" s="1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O313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N291" i="12"/>
  <c r="M291" i="12"/>
  <c r="P291" i="12" s="1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O272" i="12"/>
  <c r="N272" i="12"/>
  <c r="M272" i="12"/>
  <c r="P272" i="12" s="1"/>
  <c r="L272" i="12"/>
  <c r="J270" i="12"/>
  <c r="I270" i="12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M250" i="12" s="1"/>
  <c r="O253" i="12"/>
  <c r="O251" i="12"/>
  <c r="N251" i="12"/>
  <c r="M251" i="12"/>
  <c r="P251" i="12" s="1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P221" i="12"/>
  <c r="N221" i="12"/>
  <c r="M221" i="12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O141" i="12"/>
  <c r="N141" i="12"/>
  <c r="M141" i="12"/>
  <c r="L141" i="12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L124" i="12"/>
  <c r="L123" i="12"/>
  <c r="N122" i="12"/>
  <c r="M122" i="12"/>
  <c r="O121" i="12"/>
  <c r="N119" i="12"/>
  <c r="M119" i="12"/>
  <c r="P119" i="12" s="1"/>
  <c r="L119" i="12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M96" i="12" s="1"/>
  <c r="O97" i="12"/>
  <c r="N95" i="12"/>
  <c r="M95" i="12"/>
  <c r="P95" i="12" s="1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L72" i="12"/>
  <c r="L71" i="12"/>
  <c r="N70" i="12"/>
  <c r="M70" i="12"/>
  <c r="O69" i="12"/>
  <c r="N67" i="12"/>
  <c r="M67" i="12"/>
  <c r="P67" i="12" s="1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O54" i="12"/>
  <c r="N54" i="12"/>
  <c r="M54" i="12"/>
  <c r="P54" i="12" s="1"/>
  <c r="L54" i="12"/>
  <c r="N49" i="12"/>
  <c r="L49" i="12"/>
  <c r="L47" i="12"/>
  <c r="L46" i="12"/>
  <c r="N45" i="12"/>
  <c r="M45" i="12"/>
  <c r="M43" i="12" s="1"/>
  <c r="N42" i="12"/>
  <c r="M42" i="12"/>
  <c r="P42" i="12" s="1"/>
  <c r="L42" i="12"/>
  <c r="P36" i="12"/>
  <c r="O36" i="12"/>
  <c r="P35" i="12"/>
  <c r="O35" i="12"/>
  <c r="M34" i="12"/>
  <c r="P34" i="12" s="1"/>
  <c r="M33" i="12"/>
  <c r="P33" i="12" s="1"/>
  <c r="M32" i="12"/>
  <c r="P32" i="12" s="1"/>
  <c r="P31" i="12"/>
  <c r="M31" i="12"/>
  <c r="M29" i="12"/>
  <c r="P29" i="12" s="1"/>
  <c r="M26" i="12"/>
  <c r="P26" i="12" s="1"/>
  <c r="N25" i="12"/>
  <c r="M25" i="12"/>
  <c r="P25" i="12" s="1"/>
  <c r="L25" i="12"/>
  <c r="O25" i="12" s="1"/>
  <c r="P24" i="12"/>
  <c r="N24" i="12"/>
  <c r="M24" i="12"/>
  <c r="M14" i="12" s="1"/>
  <c r="P14" i="12" s="1"/>
  <c r="P23" i="12"/>
  <c r="N23" i="12"/>
  <c r="M23" i="12"/>
  <c r="N21" i="12"/>
  <c r="N19" i="12" s="1"/>
  <c r="M21" i="12"/>
  <c r="P21" i="12" s="1"/>
  <c r="L21" i="12"/>
  <c r="L19" i="12" s="1"/>
  <c r="M16" i="12"/>
  <c r="P16" i="12" s="1"/>
  <c r="N15" i="12"/>
  <c r="M13" i="12"/>
  <c r="P13" i="12" s="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3" i="11"/>
  <c r="I563" i="11"/>
  <c r="J562" i="11"/>
  <c r="I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M331" i="11" s="1"/>
  <c r="O332" i="11"/>
  <c r="N330" i="11"/>
  <c r="M330" i="11"/>
  <c r="P330" i="11" s="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O313" i="11"/>
  <c r="N311" i="11"/>
  <c r="M311" i="1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L296" i="11"/>
  <c r="L295" i="11"/>
  <c r="N294" i="11"/>
  <c r="M294" i="11"/>
  <c r="P294" i="11" s="1"/>
  <c r="O293" i="11"/>
  <c r="N291" i="11"/>
  <c r="M291" i="11"/>
  <c r="P291" i="11" s="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O274" i="11"/>
  <c r="N272" i="11"/>
  <c r="M272" i="11"/>
  <c r="P272" i="11" s="1"/>
  <c r="L272" i="11"/>
  <c r="O272" i="11" s="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N251" i="11"/>
  <c r="M251" i="11"/>
  <c r="L251" i="11"/>
  <c r="O251" i="11" s="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L226" i="11"/>
  <c r="L225" i="11"/>
  <c r="N224" i="11"/>
  <c r="M224" i="11"/>
  <c r="O223" i="11"/>
  <c r="P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N141" i="11"/>
  <c r="M141" i="11"/>
  <c r="P141" i="11" s="1"/>
  <c r="L141" i="11"/>
  <c r="O141" i="11" s="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P119" i="11"/>
  <c r="N119" i="11"/>
  <c r="M119" i="11"/>
  <c r="L119" i="11"/>
  <c r="O119" i="11" s="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N95" i="11"/>
  <c r="M95" i="11"/>
  <c r="P95" i="11" s="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N67" i="11"/>
  <c r="M67" i="11"/>
  <c r="P67" i="11" s="1"/>
  <c r="L67" i="11"/>
  <c r="O67" i="11" s="1"/>
  <c r="J65" i="11"/>
  <c r="I65" i="11"/>
  <c r="J64" i="11"/>
  <c r="I64" i="11"/>
  <c r="N61" i="11"/>
  <c r="L61" i="11"/>
  <c r="O61" i="11" s="1"/>
  <c r="L59" i="11"/>
  <c r="L58" i="11"/>
  <c r="N57" i="11"/>
  <c r="M57" i="11"/>
  <c r="N54" i="11"/>
  <c r="M54" i="11"/>
  <c r="P54" i="11" s="1"/>
  <c r="L54" i="11"/>
  <c r="O54" i="11" s="1"/>
  <c r="N49" i="11"/>
  <c r="L49" i="11"/>
  <c r="L47" i="11"/>
  <c r="L46" i="11"/>
  <c r="N45" i="11"/>
  <c r="M45" i="11"/>
  <c r="N42" i="11"/>
  <c r="M42" i="11"/>
  <c r="P42" i="11" s="1"/>
  <c r="L42" i="11"/>
  <c r="O42" i="11" s="1"/>
  <c r="P36" i="11"/>
  <c r="O36" i="11"/>
  <c r="P35" i="11"/>
  <c r="O35" i="11"/>
  <c r="M34" i="11"/>
  <c r="P34" i="11" s="1"/>
  <c r="M33" i="11"/>
  <c r="P33" i="11" s="1"/>
  <c r="M32" i="11"/>
  <c r="P32" i="11" s="1"/>
  <c r="M31" i="11"/>
  <c r="M29" i="11" s="1"/>
  <c r="M26" i="11"/>
  <c r="P26" i="11" s="1"/>
  <c r="N25" i="11"/>
  <c r="M25" i="11"/>
  <c r="P25" i="11" s="1"/>
  <c r="L25" i="11"/>
  <c r="O25" i="11" s="1"/>
  <c r="P24" i="11"/>
  <c r="N24" i="11"/>
  <c r="M24" i="11"/>
  <c r="P23" i="11"/>
  <c r="N23" i="11"/>
  <c r="M23" i="11"/>
  <c r="N21" i="11"/>
  <c r="M21" i="11"/>
  <c r="P21" i="11" s="1"/>
  <c r="L21" i="11"/>
  <c r="O21" i="11" s="1"/>
  <c r="L19" i="11"/>
  <c r="O19" i="11" s="1"/>
  <c r="N15" i="11"/>
  <c r="L15" i="11"/>
  <c r="O15" i="11" s="1"/>
  <c r="M14" i="11"/>
  <c r="P14" i="11" s="1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3" i="10"/>
  <c r="I563" i="10"/>
  <c r="J562" i="10"/>
  <c r="I562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K371" i="10" s="1"/>
  <c r="J370" i="10"/>
  <c r="I370" i="10"/>
  <c r="K370" i="10" s="1"/>
  <c r="J369" i="10"/>
  <c r="I369" i="10"/>
  <c r="K369" i="10" s="1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O353" i="10" s="1"/>
  <c r="N352" i="10"/>
  <c r="L352" i="10"/>
  <c r="O352" i="10" s="1"/>
  <c r="N351" i="10"/>
  <c r="L351" i="10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N330" i="10"/>
  <c r="M330" i="10"/>
  <c r="P330" i="10" s="1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N311" i="10"/>
  <c r="M311" i="10"/>
  <c r="P311" i="10" s="1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N291" i="10"/>
  <c r="M291" i="10"/>
  <c r="P291" i="10" s="1"/>
  <c r="L291" i="10"/>
  <c r="O291" i="10" s="1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P272" i="10"/>
  <c r="O272" i="10"/>
  <c r="N272" i="10"/>
  <c r="M272" i="10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N251" i="10"/>
  <c r="M251" i="10"/>
  <c r="P251" i="10" s="1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O228" i="10" s="1"/>
  <c r="L226" i="10"/>
  <c r="L225" i="10"/>
  <c r="N224" i="10"/>
  <c r="M224" i="10"/>
  <c r="P224" i="10" s="1"/>
  <c r="O223" i="10"/>
  <c r="N221" i="10"/>
  <c r="M221" i="10"/>
  <c r="P221" i="10" s="1"/>
  <c r="L221" i="10"/>
  <c r="O221" i="10" s="1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N141" i="10"/>
  <c r="M141" i="10"/>
  <c r="P141" i="10" s="1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N119" i="10"/>
  <c r="M119" i="10"/>
  <c r="P119" i="10" s="1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N95" i="10"/>
  <c r="M95" i="10"/>
  <c r="P95" i="10" s="1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L72" i="10"/>
  <c r="L71" i="10"/>
  <c r="N70" i="10"/>
  <c r="M70" i="10"/>
  <c r="O69" i="10"/>
  <c r="N67" i="10"/>
  <c r="M67" i="10"/>
  <c r="P67" i="10" s="1"/>
  <c r="L67" i="10"/>
  <c r="O67" i="10" s="1"/>
  <c r="J65" i="10"/>
  <c r="I65" i="10"/>
  <c r="J64" i="10"/>
  <c r="I64" i="10"/>
  <c r="N61" i="10"/>
  <c r="L61" i="10"/>
  <c r="O61" i="10" s="1"/>
  <c r="L59" i="10"/>
  <c r="L58" i="10"/>
  <c r="N57" i="10"/>
  <c r="M57" i="10"/>
  <c r="N54" i="10"/>
  <c r="M54" i="10"/>
  <c r="P54" i="10" s="1"/>
  <c r="L54" i="10"/>
  <c r="O54" i="10" s="1"/>
  <c r="N49" i="10"/>
  <c r="L49" i="10"/>
  <c r="O49" i="10" s="1"/>
  <c r="L47" i="10"/>
  <c r="L46" i="10"/>
  <c r="N45" i="10"/>
  <c r="M45" i="10"/>
  <c r="M43" i="10" s="1"/>
  <c r="N42" i="10"/>
  <c r="M42" i="10"/>
  <c r="P42" i="10" s="1"/>
  <c r="L42" i="10"/>
  <c r="O42" i="10" s="1"/>
  <c r="P36" i="10"/>
  <c r="O36" i="10"/>
  <c r="P35" i="10"/>
  <c r="O35" i="10"/>
  <c r="M34" i="10"/>
  <c r="P34" i="10" s="1"/>
  <c r="M33" i="10"/>
  <c r="P33" i="10" s="1"/>
  <c r="M32" i="10"/>
  <c r="M30" i="10" s="1"/>
  <c r="P30" i="10" s="1"/>
  <c r="M31" i="10"/>
  <c r="P31" i="10" s="1"/>
  <c r="M26" i="10"/>
  <c r="P26" i="10" s="1"/>
  <c r="N25" i="10"/>
  <c r="N15" i="10" s="1"/>
  <c r="M25" i="10"/>
  <c r="P25" i="10" s="1"/>
  <c r="L25" i="10"/>
  <c r="O25" i="10" s="1"/>
  <c r="N24" i="10"/>
  <c r="M24" i="10"/>
  <c r="P24" i="10" s="1"/>
  <c r="P23" i="10"/>
  <c r="N23" i="10"/>
  <c r="M23" i="10"/>
  <c r="N21" i="10"/>
  <c r="N19" i="10" s="1"/>
  <c r="M21" i="10"/>
  <c r="M19" i="10" s="1"/>
  <c r="P19" i="10" s="1"/>
  <c r="L21" i="10"/>
  <c r="O21" i="10" s="1"/>
  <c r="M11" i="10"/>
  <c r="P11" i="10" s="1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5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N566" i="9"/>
  <c r="L566" i="9"/>
  <c r="N565" i="9"/>
  <c r="L565" i="9"/>
  <c r="O565" i="9" s="1"/>
  <c r="N564" i="9"/>
  <c r="L564" i="9"/>
  <c r="J564" i="9"/>
  <c r="I564" i="9"/>
  <c r="J563" i="9"/>
  <c r="I563" i="9"/>
  <c r="J562" i="9"/>
  <c r="I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N330" i="9"/>
  <c r="M330" i="9"/>
  <c r="P330" i="9" s="1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P311" i="9"/>
  <c r="N311" i="9"/>
  <c r="M311" i="9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M292" i="9" s="1"/>
  <c r="O293" i="9"/>
  <c r="O291" i="9"/>
  <c r="N291" i="9"/>
  <c r="M291" i="9"/>
  <c r="P291" i="9" s="1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N272" i="9"/>
  <c r="M272" i="9"/>
  <c r="P272" i="9" s="1"/>
  <c r="L272" i="9"/>
  <c r="O272" i="9" s="1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N251" i="9"/>
  <c r="M251" i="9"/>
  <c r="P251" i="9" s="1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O221" i="9"/>
  <c r="N221" i="9"/>
  <c r="M221" i="9"/>
  <c r="P221" i="9" s="1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N141" i="9"/>
  <c r="M141" i="9"/>
  <c r="P141" i="9" s="1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N119" i="9"/>
  <c r="M119" i="9"/>
  <c r="P119" i="9" s="1"/>
  <c r="L119" i="9"/>
  <c r="O119" i="9" s="1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L100" i="9"/>
  <c r="L99" i="9"/>
  <c r="N98" i="9"/>
  <c r="M98" i="9"/>
  <c r="O97" i="9"/>
  <c r="P95" i="9"/>
  <c r="N95" i="9"/>
  <c r="M95" i="9"/>
  <c r="L95" i="9"/>
  <c r="O95" i="9" s="1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L72" i="9"/>
  <c r="L71" i="9"/>
  <c r="N70" i="9"/>
  <c r="M70" i="9"/>
  <c r="O69" i="9"/>
  <c r="P67" i="9"/>
  <c r="N67" i="9"/>
  <c r="M67" i="9"/>
  <c r="L67" i="9"/>
  <c r="O67" i="9" s="1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M55" i="9" s="1"/>
  <c r="P54" i="9"/>
  <c r="N54" i="9"/>
  <c r="M54" i="9"/>
  <c r="L54" i="9"/>
  <c r="O54" i="9" s="1"/>
  <c r="N49" i="9"/>
  <c r="L49" i="9"/>
  <c r="O49" i="9" s="1"/>
  <c r="L47" i="9"/>
  <c r="L46" i="9"/>
  <c r="N45" i="9"/>
  <c r="M45" i="9"/>
  <c r="N42" i="9"/>
  <c r="M42" i="9"/>
  <c r="P42" i="9" s="1"/>
  <c r="L42" i="9"/>
  <c r="O42" i="9" s="1"/>
  <c r="P36" i="9"/>
  <c r="O36" i="9"/>
  <c r="P35" i="9"/>
  <c r="O35" i="9"/>
  <c r="M34" i="9"/>
  <c r="P34" i="9" s="1"/>
  <c r="M33" i="9"/>
  <c r="P33" i="9" s="1"/>
  <c r="M32" i="9"/>
  <c r="P32" i="9" s="1"/>
  <c r="M31" i="9"/>
  <c r="M29" i="9" s="1"/>
  <c r="P30" i="9"/>
  <c r="M30" i="9"/>
  <c r="M26" i="9"/>
  <c r="P26" i="9" s="1"/>
  <c r="P25" i="9"/>
  <c r="N25" i="9"/>
  <c r="M25" i="9"/>
  <c r="L25" i="9"/>
  <c r="O25" i="9" s="1"/>
  <c r="P24" i="9"/>
  <c r="N24" i="9"/>
  <c r="M24" i="9"/>
  <c r="M14" i="9" s="1"/>
  <c r="P14" i="9" s="1"/>
  <c r="P23" i="9"/>
  <c r="N23" i="9"/>
  <c r="M23" i="9"/>
  <c r="N21" i="9"/>
  <c r="M21" i="9"/>
  <c r="P21" i="9" s="1"/>
  <c r="L21" i="9"/>
  <c r="O21" i="9" s="1"/>
  <c r="N15" i="9"/>
  <c r="M15" i="9"/>
  <c r="P15" i="9" s="1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6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3" i="8"/>
  <c r="I563" i="8"/>
  <c r="J562" i="8"/>
  <c r="I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N352" i="8"/>
  <c r="L352" i="8"/>
  <c r="N351" i="8"/>
  <c r="L351" i="8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P330" i="8"/>
  <c r="N330" i="8"/>
  <c r="M330" i="8"/>
  <c r="L330" i="8"/>
  <c r="O330" i="8" s="1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N311" i="8"/>
  <c r="M311" i="8"/>
  <c r="P311" i="8" s="1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N291" i="8"/>
  <c r="M291" i="8"/>
  <c r="P291" i="8" s="1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O272" i="8"/>
  <c r="N272" i="8"/>
  <c r="M272" i="8"/>
  <c r="P272" i="8" s="1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N251" i="8"/>
  <c r="M251" i="8"/>
  <c r="P251" i="8" s="1"/>
  <c r="L251" i="8"/>
  <c r="O251" i="8" s="1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L226" i="8"/>
  <c r="L225" i="8"/>
  <c r="N224" i="8"/>
  <c r="M224" i="8"/>
  <c r="M222" i="8" s="1"/>
  <c r="O223" i="8"/>
  <c r="N221" i="8"/>
  <c r="M221" i="8"/>
  <c r="P221" i="8" s="1"/>
  <c r="L221" i="8"/>
  <c r="O221" i="8" s="1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N141" i="8"/>
  <c r="M141" i="8"/>
  <c r="P141" i="8" s="1"/>
  <c r="L141" i="8"/>
  <c r="O141" i="8" s="1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N119" i="8"/>
  <c r="M119" i="8"/>
  <c r="P119" i="8" s="1"/>
  <c r="L119" i="8"/>
  <c r="O119" i="8" s="1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L100" i="8"/>
  <c r="L99" i="8"/>
  <c r="N98" i="8"/>
  <c r="M98" i="8"/>
  <c r="O97" i="8"/>
  <c r="N95" i="8"/>
  <c r="M95" i="8"/>
  <c r="P95" i="8" s="1"/>
  <c r="L95" i="8"/>
  <c r="O95" i="8" s="1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O69" i="8"/>
  <c r="N67" i="8"/>
  <c r="M67" i="8"/>
  <c r="P67" i="8" s="1"/>
  <c r="L67" i="8"/>
  <c r="O67" i="8" s="1"/>
  <c r="J65" i="8"/>
  <c r="I65" i="8"/>
  <c r="J64" i="8"/>
  <c r="I64" i="8"/>
  <c r="N61" i="8"/>
  <c r="L61" i="8"/>
  <c r="O61" i="8" s="1"/>
  <c r="L59" i="8"/>
  <c r="L58" i="8"/>
  <c r="N57" i="8"/>
  <c r="M57" i="8"/>
  <c r="M55" i="8" s="1"/>
  <c r="O54" i="8"/>
  <c r="N54" i="8"/>
  <c r="M54" i="8"/>
  <c r="P54" i="8" s="1"/>
  <c r="L54" i="8"/>
  <c r="N49" i="8"/>
  <c r="L49" i="8"/>
  <c r="L47" i="8"/>
  <c r="L46" i="8"/>
  <c r="N45" i="8"/>
  <c r="M45" i="8"/>
  <c r="N42" i="8"/>
  <c r="M42" i="8"/>
  <c r="P42" i="8" s="1"/>
  <c r="L42" i="8"/>
  <c r="O42" i="8" s="1"/>
  <c r="P36" i="8"/>
  <c r="O36" i="8"/>
  <c r="P35" i="8"/>
  <c r="O35" i="8"/>
  <c r="M34" i="8"/>
  <c r="P34" i="8" s="1"/>
  <c r="P33" i="8"/>
  <c r="M33" i="8"/>
  <c r="M13" i="8" s="1"/>
  <c r="P13" i="8" s="1"/>
  <c r="M32" i="8"/>
  <c r="P32" i="8" s="1"/>
  <c r="M31" i="8"/>
  <c r="P31" i="8" s="1"/>
  <c r="M26" i="8"/>
  <c r="P26" i="8" s="1"/>
  <c r="N25" i="8"/>
  <c r="M25" i="8"/>
  <c r="P25" i="8" s="1"/>
  <c r="L25" i="8"/>
  <c r="O25" i="8" s="1"/>
  <c r="N24" i="8"/>
  <c r="M24" i="8"/>
  <c r="P24" i="8" s="1"/>
  <c r="N23" i="8"/>
  <c r="M23" i="8"/>
  <c r="P23" i="8" s="1"/>
  <c r="N21" i="8"/>
  <c r="N19" i="8" s="1"/>
  <c r="M21" i="8"/>
  <c r="M19" i="8" s="1"/>
  <c r="L21" i="8"/>
  <c r="L19" i="8" s="1"/>
  <c r="O19" i="8" s="1"/>
  <c r="M16" i="8"/>
  <c r="P16" i="8" s="1"/>
  <c r="N15" i="8"/>
  <c r="L15" i="8"/>
  <c r="O15" i="8" s="1"/>
  <c r="M11" i="8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3" i="7"/>
  <c r="I563" i="7"/>
  <c r="J562" i="7"/>
  <c r="I562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M331" i="7" s="1"/>
  <c r="O332" i="7"/>
  <c r="N330" i="7"/>
  <c r="M330" i="7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O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N291" i="7"/>
  <c r="M291" i="7"/>
  <c r="P291" i="7" s="1"/>
  <c r="L291" i="7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O279" i="7" s="1"/>
  <c r="L277" i="7"/>
  <c r="L276" i="7"/>
  <c r="N275" i="7"/>
  <c r="M275" i="7"/>
  <c r="O274" i="7"/>
  <c r="N272" i="7"/>
  <c r="M272" i="7"/>
  <c r="P272" i="7" s="1"/>
  <c r="L272" i="7"/>
  <c r="O272" i="7" s="1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P252" i="7" s="1"/>
  <c r="O253" i="7"/>
  <c r="O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P221" i="7"/>
  <c r="N221" i="7"/>
  <c r="M221" i="7"/>
  <c r="L221" i="7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N141" i="7"/>
  <c r="M141" i="7"/>
  <c r="L141" i="7"/>
  <c r="O141" i="7" s="1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N119" i="7"/>
  <c r="M119" i="7"/>
  <c r="P119" i="7" s="1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M96" i="7" s="1"/>
  <c r="O97" i="7"/>
  <c r="N95" i="7"/>
  <c r="M95" i="7"/>
  <c r="P95" i="7" s="1"/>
  <c r="L95" i="7"/>
  <c r="O95" i="7" s="1"/>
  <c r="J93" i="7"/>
  <c r="I93" i="7"/>
  <c r="J92" i="7"/>
  <c r="I92" i="7"/>
  <c r="J90" i="7"/>
  <c r="J89" i="7"/>
  <c r="J88" i="7"/>
  <c r="I88" i="7"/>
  <c r="K88" i="7" s="1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L72" i="7"/>
  <c r="L71" i="7"/>
  <c r="N70" i="7"/>
  <c r="M70" i="7"/>
  <c r="M68" i="7" s="1"/>
  <c r="O69" i="7"/>
  <c r="P67" i="7"/>
  <c r="N67" i="7"/>
  <c r="M67" i="7"/>
  <c r="L67" i="7"/>
  <c r="O67" i="7" s="1"/>
  <c r="J65" i="7"/>
  <c r="I65" i="7"/>
  <c r="J64" i="7"/>
  <c r="I64" i="7"/>
  <c r="N61" i="7"/>
  <c r="L61" i="7"/>
  <c r="O61" i="7" s="1"/>
  <c r="L59" i="7"/>
  <c r="L58" i="7"/>
  <c r="N57" i="7"/>
  <c r="M57" i="7"/>
  <c r="O54" i="7"/>
  <c r="N54" i="7"/>
  <c r="M54" i="7"/>
  <c r="P54" i="7" s="1"/>
  <c r="L54" i="7"/>
  <c r="N49" i="7"/>
  <c r="L49" i="7"/>
  <c r="L47" i="7"/>
  <c r="L46" i="7"/>
  <c r="N45" i="7"/>
  <c r="M45" i="7"/>
  <c r="M43" i="7" s="1"/>
  <c r="P42" i="7"/>
  <c r="N42" i="7"/>
  <c r="M42" i="7"/>
  <c r="L42" i="7"/>
  <c r="P36" i="7"/>
  <c r="O36" i="7"/>
  <c r="P35" i="7"/>
  <c r="O35" i="7"/>
  <c r="M34" i="7"/>
  <c r="P34" i="7" s="1"/>
  <c r="P33" i="7"/>
  <c r="M33" i="7"/>
  <c r="M32" i="7"/>
  <c r="P32" i="7" s="1"/>
  <c r="M31" i="7"/>
  <c r="M29" i="7" s="1"/>
  <c r="P29" i="7" s="1"/>
  <c r="P26" i="7"/>
  <c r="M26" i="7"/>
  <c r="O25" i="7"/>
  <c r="N25" i="7"/>
  <c r="M25" i="7"/>
  <c r="P25" i="7" s="1"/>
  <c r="L25" i="7"/>
  <c r="N24" i="7"/>
  <c r="M24" i="7"/>
  <c r="M14" i="7" s="1"/>
  <c r="P14" i="7" s="1"/>
  <c r="N23" i="7"/>
  <c r="M23" i="7"/>
  <c r="P23" i="7" s="1"/>
  <c r="N21" i="7"/>
  <c r="M21" i="7"/>
  <c r="L21" i="7"/>
  <c r="L19" i="7" s="1"/>
  <c r="N19" i="7"/>
  <c r="M16" i="7"/>
  <c r="P16" i="7" s="1"/>
  <c r="N15" i="7"/>
  <c r="L15" i="7"/>
  <c r="O15" i="7" s="1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6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N588" i="6"/>
  <c r="N587" i="6"/>
  <c r="N586" i="6"/>
  <c r="N585" i="6"/>
  <c r="N584" i="6"/>
  <c r="L584" i="6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3" i="6"/>
  <c r="J562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N383" i="6"/>
  <c r="L383" i="6"/>
  <c r="N382" i="6"/>
  <c r="L382" i="6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M331" i="6" s="1"/>
  <c r="O332" i="6"/>
  <c r="N330" i="6"/>
  <c r="M330" i="6"/>
  <c r="P330" i="6" s="1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O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P291" i="6"/>
  <c r="N291" i="6"/>
  <c r="M291" i="6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P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O251" i="6"/>
  <c r="N251" i="6"/>
  <c r="M251" i="6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L226" i="6"/>
  <c r="L225" i="6"/>
  <c r="N224" i="6"/>
  <c r="M224" i="6"/>
  <c r="M222" i="6" s="1"/>
  <c r="O223" i="6"/>
  <c r="P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O141" i="6"/>
  <c r="N141" i="6"/>
  <c r="M141" i="6"/>
  <c r="P141" i="6" s="1"/>
  <c r="L141" i="6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N122" i="6"/>
  <c r="M122" i="6"/>
  <c r="M120" i="6" s="1"/>
  <c r="O121" i="6"/>
  <c r="P119" i="6"/>
  <c r="N119" i="6"/>
  <c r="M119" i="6"/>
  <c r="L119" i="6"/>
  <c r="O119" i="6" s="1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N95" i="6"/>
  <c r="M95" i="6"/>
  <c r="L95" i="6"/>
  <c r="O95" i="6" s="1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O69" i="6"/>
  <c r="N67" i="6"/>
  <c r="M67" i="6"/>
  <c r="P67" i="6" s="1"/>
  <c r="L67" i="6"/>
  <c r="J65" i="6"/>
  <c r="I65" i="6"/>
  <c r="J64" i="6"/>
  <c r="I64" i="6"/>
  <c r="N61" i="6"/>
  <c r="L61" i="6"/>
  <c r="O61" i="6" s="1"/>
  <c r="L59" i="6"/>
  <c r="L58" i="6"/>
  <c r="N57" i="6"/>
  <c r="M57" i="6"/>
  <c r="O54" i="6"/>
  <c r="N54" i="6"/>
  <c r="M54" i="6"/>
  <c r="L54" i="6"/>
  <c r="N49" i="6"/>
  <c r="L49" i="6"/>
  <c r="O49" i="6" s="1"/>
  <c r="L47" i="6"/>
  <c r="L46" i="6"/>
  <c r="N45" i="6"/>
  <c r="M45" i="6"/>
  <c r="M43" i="6" s="1"/>
  <c r="N42" i="6"/>
  <c r="M42" i="6"/>
  <c r="P42" i="6" s="1"/>
  <c r="L42" i="6"/>
  <c r="O42" i="6" s="1"/>
  <c r="P36" i="6"/>
  <c r="O36" i="6"/>
  <c r="P35" i="6"/>
  <c r="O35" i="6"/>
  <c r="M34" i="6"/>
  <c r="P34" i="6" s="1"/>
  <c r="M33" i="6"/>
  <c r="P33" i="6" s="1"/>
  <c r="M32" i="6"/>
  <c r="P32" i="6" s="1"/>
  <c r="M31" i="6"/>
  <c r="M29" i="6" s="1"/>
  <c r="M26" i="6"/>
  <c r="P26" i="6" s="1"/>
  <c r="N25" i="6"/>
  <c r="N15" i="6" s="1"/>
  <c r="M25" i="6"/>
  <c r="P25" i="6" s="1"/>
  <c r="L25" i="6"/>
  <c r="O25" i="6" s="1"/>
  <c r="N24" i="6"/>
  <c r="M24" i="6"/>
  <c r="P24" i="6" s="1"/>
  <c r="N23" i="6"/>
  <c r="M23" i="6"/>
  <c r="N21" i="6"/>
  <c r="N19" i="6" s="1"/>
  <c r="M21" i="6"/>
  <c r="P21" i="6" s="1"/>
  <c r="L21" i="6"/>
  <c r="L19" i="6" s="1"/>
  <c r="O19" i="6" s="1"/>
  <c r="M16" i="6"/>
  <c r="P16" i="6" s="1"/>
  <c r="M15" i="6"/>
  <c r="P15" i="6" s="1"/>
  <c r="L15" i="6"/>
  <c r="O15" i="6" s="1"/>
  <c r="M14" i="6"/>
  <c r="P14" i="6" s="1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4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3" i="5"/>
  <c r="J562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N383" i="5"/>
  <c r="L383" i="5"/>
  <c r="N382" i="5"/>
  <c r="L382" i="5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N330" i="5"/>
  <c r="M330" i="5"/>
  <c r="P330" i="5" s="1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O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P294" i="5" s="1"/>
  <c r="O293" i="5"/>
  <c r="P291" i="5"/>
  <c r="N291" i="5"/>
  <c r="M291" i="5"/>
  <c r="L291" i="5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P272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O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L226" i="5"/>
  <c r="L225" i="5"/>
  <c r="N224" i="5"/>
  <c r="M224" i="5"/>
  <c r="O223" i="5"/>
  <c r="P221" i="5"/>
  <c r="N221" i="5"/>
  <c r="M221" i="5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N141" i="5"/>
  <c r="M141" i="5"/>
  <c r="P141" i="5" s="1"/>
  <c r="L141" i="5"/>
  <c r="O141" i="5" s="1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N119" i="5"/>
  <c r="M119" i="5"/>
  <c r="P119" i="5" s="1"/>
  <c r="L119" i="5"/>
  <c r="O119" i="5" s="1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N67" i="5"/>
  <c r="M67" i="5"/>
  <c r="P67" i="5" s="1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O54" i="5"/>
  <c r="N54" i="5"/>
  <c r="M54" i="5"/>
  <c r="L54" i="5"/>
  <c r="N49" i="5"/>
  <c r="L49" i="5"/>
  <c r="O49" i="5" s="1"/>
  <c r="L47" i="5"/>
  <c r="L46" i="5"/>
  <c r="N45" i="5"/>
  <c r="M45" i="5"/>
  <c r="M43" i="5" s="1"/>
  <c r="M41" i="5" s="1"/>
  <c r="N42" i="5"/>
  <c r="M42" i="5"/>
  <c r="P42" i="5" s="1"/>
  <c r="L42" i="5"/>
  <c r="O42" i="5" s="1"/>
  <c r="P36" i="5"/>
  <c r="O36" i="5"/>
  <c r="P35" i="5"/>
  <c r="O35" i="5"/>
  <c r="M34" i="5"/>
  <c r="P34" i="5" s="1"/>
  <c r="M33" i="5"/>
  <c r="P33" i="5" s="1"/>
  <c r="M32" i="5"/>
  <c r="P32" i="5" s="1"/>
  <c r="P31" i="5"/>
  <c r="M31" i="5"/>
  <c r="M29" i="5" s="1"/>
  <c r="M30" i="5"/>
  <c r="P30" i="5" s="1"/>
  <c r="P26" i="5"/>
  <c r="M26" i="5"/>
  <c r="N25" i="5"/>
  <c r="M25" i="5"/>
  <c r="P25" i="5" s="1"/>
  <c r="L25" i="5"/>
  <c r="O25" i="5" s="1"/>
  <c r="P24" i="5"/>
  <c r="N24" i="5"/>
  <c r="M24" i="5"/>
  <c r="N23" i="5"/>
  <c r="M23" i="5"/>
  <c r="N21" i="5"/>
  <c r="N19" i="5" s="1"/>
  <c r="M21" i="5"/>
  <c r="P21" i="5" s="1"/>
  <c r="L21" i="5"/>
  <c r="L19" i="5" s="1"/>
  <c r="O19" i="5" s="1"/>
  <c r="M16" i="5"/>
  <c r="P16" i="5" s="1"/>
  <c r="N15" i="5"/>
  <c r="L15" i="5"/>
  <c r="O15" i="5" s="1"/>
  <c r="M14" i="5"/>
  <c r="P14" i="5" s="1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3" i="4"/>
  <c r="J562" i="4"/>
  <c r="J561" i="4"/>
  <c r="I561" i="4"/>
  <c r="K561" i="4" s="1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N552" i="4"/>
  <c r="L552" i="4"/>
  <c r="O552" i="4" s="1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N330" i="4"/>
  <c r="M330" i="4"/>
  <c r="L330" i="4"/>
  <c r="O330" i="4" s="1"/>
  <c r="J328" i="4"/>
  <c r="I328" i="4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M312" i="4" s="1"/>
  <c r="O313" i="4"/>
  <c r="O311" i="4"/>
  <c r="N311" i="4"/>
  <c r="M311" i="4"/>
  <c r="P311" i="4" s="1"/>
  <c r="L311" i="4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N291" i="4"/>
  <c r="M291" i="4"/>
  <c r="P291" i="4" s="1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N272" i="4"/>
  <c r="M272" i="4"/>
  <c r="P272" i="4" s="1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O251" i="4"/>
  <c r="N251" i="4"/>
  <c r="M251" i="4"/>
  <c r="P251" i="4" s="1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P221" i="4"/>
  <c r="N221" i="4"/>
  <c r="M221" i="4"/>
  <c r="L221" i="4"/>
  <c r="O221" i="4" s="1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N141" i="4"/>
  <c r="M141" i="4"/>
  <c r="L141" i="4"/>
  <c r="O141" i="4" s="1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P122" i="4" s="1"/>
  <c r="O121" i="4"/>
  <c r="N119" i="4"/>
  <c r="M119" i="4"/>
  <c r="P119" i="4" s="1"/>
  <c r="L119" i="4"/>
  <c r="L119" i="1" s="1"/>
  <c r="O119" i="1" s="1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M96" i="4" s="1"/>
  <c r="O97" i="4"/>
  <c r="O95" i="4"/>
  <c r="N95" i="4"/>
  <c r="M95" i="4"/>
  <c r="L95" i="4"/>
  <c r="J93" i="4"/>
  <c r="I93" i="4"/>
  <c r="J92" i="4"/>
  <c r="I92" i="4"/>
  <c r="J90" i="4"/>
  <c r="J89" i="4"/>
  <c r="J88" i="4"/>
  <c r="I88" i="4"/>
  <c r="K88" i="4" s="1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L72" i="4"/>
  <c r="L71" i="4"/>
  <c r="N70" i="4"/>
  <c r="M70" i="4"/>
  <c r="O69" i="4"/>
  <c r="P67" i="4"/>
  <c r="N67" i="4"/>
  <c r="M67" i="4"/>
  <c r="L67" i="4"/>
  <c r="J65" i="4"/>
  <c r="I65" i="4"/>
  <c r="J64" i="4"/>
  <c r="I64" i="4"/>
  <c r="N61" i="4"/>
  <c r="L61" i="4"/>
  <c r="O61" i="4" s="1"/>
  <c r="L59" i="4"/>
  <c r="L58" i="4"/>
  <c r="N57" i="4"/>
  <c r="M57" i="4"/>
  <c r="M55" i="4" s="1"/>
  <c r="O54" i="4"/>
  <c r="N54" i="4"/>
  <c r="M54" i="4"/>
  <c r="L54" i="4"/>
  <c r="N49" i="4"/>
  <c r="L49" i="4"/>
  <c r="L47" i="4"/>
  <c r="L46" i="4"/>
  <c r="N45" i="4"/>
  <c r="M45" i="4"/>
  <c r="P42" i="4"/>
  <c r="N42" i="4"/>
  <c r="M42" i="4"/>
  <c r="L42" i="4"/>
  <c r="P36" i="4"/>
  <c r="O36" i="4"/>
  <c r="P35" i="4"/>
  <c r="O35" i="4"/>
  <c r="M34" i="4"/>
  <c r="P34" i="4" s="1"/>
  <c r="P33" i="4"/>
  <c r="M33" i="4"/>
  <c r="M32" i="4"/>
  <c r="M31" i="4"/>
  <c r="M29" i="4" s="1"/>
  <c r="P29" i="4" s="1"/>
  <c r="P26" i="4"/>
  <c r="M26" i="4"/>
  <c r="N25" i="4"/>
  <c r="M25" i="4"/>
  <c r="L25" i="4"/>
  <c r="O25" i="4" s="1"/>
  <c r="N24" i="4"/>
  <c r="M24" i="4"/>
  <c r="P24" i="4" s="1"/>
  <c r="N23" i="4"/>
  <c r="M23" i="4"/>
  <c r="P23" i="4" s="1"/>
  <c r="N21" i="4"/>
  <c r="N19" i="4" s="1"/>
  <c r="M21" i="4"/>
  <c r="P21" i="4" s="1"/>
  <c r="L21" i="4"/>
  <c r="O21" i="4" s="1"/>
  <c r="L19" i="4"/>
  <c r="O19" i="4" s="1"/>
  <c r="M16" i="4"/>
  <c r="P16" i="4" s="1"/>
  <c r="N15" i="4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N566" i="3"/>
  <c r="L566" i="3"/>
  <c r="N565" i="3"/>
  <c r="L565" i="3"/>
  <c r="O565" i="3" s="1"/>
  <c r="N564" i="3"/>
  <c r="L564" i="3"/>
  <c r="J564" i="3"/>
  <c r="I564" i="3"/>
  <c r="J563" i="3"/>
  <c r="J562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N311" i="3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N291" i="3"/>
  <c r="M291" i="3"/>
  <c r="P291" i="3" s="1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P272" i="3"/>
  <c r="N272" i="3"/>
  <c r="M272" i="3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N251" i="3"/>
  <c r="M251" i="3"/>
  <c r="M251" i="1" s="1"/>
  <c r="P251" i="1" s="1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N221" i="3"/>
  <c r="M221" i="3"/>
  <c r="M221" i="1" s="1"/>
  <c r="P221" i="1" s="1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O141" i="3"/>
  <c r="N141" i="3"/>
  <c r="M141" i="3"/>
  <c r="L141" i="3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P119" i="3"/>
  <c r="N119" i="3"/>
  <c r="M119" i="3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M96" i="3" s="1"/>
  <c r="O97" i="3"/>
  <c r="O95" i="3"/>
  <c r="N95" i="3"/>
  <c r="M95" i="3"/>
  <c r="P95" i="3" s="1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O69" i="3"/>
  <c r="P67" i="3"/>
  <c r="N67" i="3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N54" i="3"/>
  <c r="M54" i="3"/>
  <c r="P54" i="3" s="1"/>
  <c r="L54" i="3"/>
  <c r="O54" i="3" s="1"/>
  <c r="N49" i="3"/>
  <c r="L49" i="3"/>
  <c r="O49" i="3" s="1"/>
  <c r="L47" i="3"/>
  <c r="L46" i="3"/>
  <c r="N45" i="3"/>
  <c r="M45" i="3"/>
  <c r="M43" i="3" s="1"/>
  <c r="N42" i="3"/>
  <c r="M42" i="3"/>
  <c r="P42" i="3" s="1"/>
  <c r="L42" i="3"/>
  <c r="P36" i="3"/>
  <c r="O36" i="3"/>
  <c r="P35" i="3"/>
  <c r="O35" i="3"/>
  <c r="M34" i="3"/>
  <c r="P34" i="3" s="1"/>
  <c r="M33" i="3"/>
  <c r="P33" i="3" s="1"/>
  <c r="M32" i="3"/>
  <c r="P32" i="3" s="1"/>
  <c r="P31" i="3"/>
  <c r="M31" i="3"/>
  <c r="M29" i="3" s="1"/>
  <c r="P29" i="3" s="1"/>
  <c r="M26" i="3"/>
  <c r="P26" i="3" s="1"/>
  <c r="N25" i="3"/>
  <c r="N15" i="3" s="1"/>
  <c r="M25" i="3"/>
  <c r="P25" i="3" s="1"/>
  <c r="L25" i="3"/>
  <c r="O25" i="3" s="1"/>
  <c r="N24" i="3"/>
  <c r="M24" i="3"/>
  <c r="P24" i="3" s="1"/>
  <c r="P23" i="3"/>
  <c r="N23" i="3"/>
  <c r="M23" i="3"/>
  <c r="N21" i="3"/>
  <c r="M21" i="3"/>
  <c r="L21" i="3"/>
  <c r="L19" i="3" s="1"/>
  <c r="O19" i="3" s="1"/>
  <c r="O15" i="3"/>
  <c r="L15" i="3"/>
  <c r="M13" i="3"/>
  <c r="P13" i="3" s="1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6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3" i="2"/>
  <c r="J562" i="2"/>
  <c r="J561" i="2"/>
  <c r="I561" i="2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K369" i="2" s="1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O353" i="2" s="1"/>
  <c r="N352" i="2"/>
  <c r="L352" i="2"/>
  <c r="O352" i="2" s="1"/>
  <c r="N351" i="2"/>
  <c r="L351" i="2"/>
  <c r="O351" i="2" s="1"/>
  <c r="J350" i="2"/>
  <c r="I350" i="2"/>
  <c r="K350" i="2" s="1"/>
  <c r="N349" i="2"/>
  <c r="L349" i="2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M331" i="2" s="1"/>
  <c r="O332" i="2"/>
  <c r="N330" i="2"/>
  <c r="N330" i="1" s="1"/>
  <c r="M330" i="2"/>
  <c r="P330" i="2" s="1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N311" i="2"/>
  <c r="N311" i="1" s="1"/>
  <c r="M311" i="2"/>
  <c r="M311" i="1" s="1"/>
  <c r="P311" i="1" s="1"/>
  <c r="L311" i="2"/>
  <c r="L311" i="1" s="1"/>
  <c r="O311" i="1" s="1"/>
  <c r="J309" i="2"/>
  <c r="I309" i="2"/>
  <c r="J308" i="2"/>
  <c r="J307" i="2"/>
  <c r="J306" i="2"/>
  <c r="I306" i="2"/>
  <c r="K306" i="2" s="1"/>
  <c r="J304" i="2"/>
  <c r="I304" i="2"/>
  <c r="K304" i="2" s="1"/>
  <c r="J303" i="2"/>
  <c r="J302" i="2"/>
  <c r="J301" i="2"/>
  <c r="J300" i="2"/>
  <c r="N298" i="2"/>
  <c r="L298" i="2"/>
  <c r="O298" i="2" s="1"/>
  <c r="L296" i="2"/>
  <c r="L295" i="2"/>
  <c r="N294" i="2"/>
  <c r="M294" i="2"/>
  <c r="P294" i="2" s="1"/>
  <c r="O293" i="2"/>
  <c r="N291" i="2"/>
  <c r="M291" i="2"/>
  <c r="P291" i="2" s="1"/>
  <c r="L291" i="2"/>
  <c r="J289" i="2"/>
  <c r="I289" i="2"/>
  <c r="K289" i="2" s="1"/>
  <c r="J287" i="2"/>
  <c r="J286" i="2"/>
  <c r="J285" i="2"/>
  <c r="I285" i="2"/>
  <c r="J284" i="2"/>
  <c r="J283" i="2"/>
  <c r="J282" i="2"/>
  <c r="J281" i="2"/>
  <c r="N279" i="2"/>
  <c r="L279" i="2"/>
  <c r="L277" i="2"/>
  <c r="L276" i="2"/>
  <c r="N275" i="2"/>
  <c r="M275" i="2"/>
  <c r="O274" i="2"/>
  <c r="P272" i="2"/>
  <c r="N272" i="2"/>
  <c r="M272" i="2"/>
  <c r="L272" i="2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L256" i="2"/>
  <c r="L255" i="2"/>
  <c r="N254" i="2"/>
  <c r="M254" i="2"/>
  <c r="M252" i="2" s="1"/>
  <c r="P252" i="2" s="1"/>
  <c r="O253" i="2"/>
  <c r="N251" i="2"/>
  <c r="M251" i="2"/>
  <c r="L251" i="2"/>
  <c r="O251" i="2" s="1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N221" i="2"/>
  <c r="M221" i="2"/>
  <c r="P221" i="2" s="1"/>
  <c r="L221" i="2"/>
  <c r="L221" i="1" s="1"/>
  <c r="O221" i="1" s="1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N141" i="2"/>
  <c r="M141" i="2"/>
  <c r="P141" i="2" s="1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N119" i="2"/>
  <c r="N119" i="1" s="1"/>
  <c r="M119" i="2"/>
  <c r="P119" i="2" s="1"/>
  <c r="L119" i="2"/>
  <c r="O119" i="2" s="1"/>
  <c r="J117" i="2"/>
  <c r="I117" i="2"/>
  <c r="J115" i="2"/>
  <c r="J114" i="2"/>
  <c r="J113" i="2"/>
  <c r="I113" i="2"/>
  <c r="K113" i="2" s="1"/>
  <c r="J112" i="2"/>
  <c r="I112" i="2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O97" i="2"/>
  <c r="N95" i="2"/>
  <c r="M95" i="2"/>
  <c r="M95" i="1" s="1"/>
  <c r="P95" i="1" s="1"/>
  <c r="L95" i="2"/>
  <c r="L95" i="1" s="1"/>
  <c r="O95" i="1" s="1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J85" i="2"/>
  <c r="I85" i="2"/>
  <c r="K85" i="2" s="1"/>
  <c r="J84" i="2"/>
  <c r="I84" i="2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M68" i="2" s="1"/>
  <c r="O69" i="2"/>
  <c r="N67" i="2"/>
  <c r="M67" i="2"/>
  <c r="P67" i="2" s="1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M55" i="2" s="1"/>
  <c r="O54" i="2"/>
  <c r="N54" i="2"/>
  <c r="M54" i="2"/>
  <c r="P54" i="2" s="1"/>
  <c r="L54" i="2"/>
  <c r="N49" i="2"/>
  <c r="L49" i="2"/>
  <c r="O49" i="2" s="1"/>
  <c r="L47" i="2"/>
  <c r="L46" i="2"/>
  <c r="N45" i="2"/>
  <c r="M45" i="2"/>
  <c r="M43" i="2" s="1"/>
  <c r="N42" i="2"/>
  <c r="M42" i="2"/>
  <c r="P42" i="2" s="1"/>
  <c r="L42" i="2"/>
  <c r="O42" i="2" s="1"/>
  <c r="P36" i="2"/>
  <c r="O36" i="2"/>
  <c r="P35" i="2"/>
  <c r="O35" i="2"/>
  <c r="M34" i="2"/>
  <c r="P34" i="2" s="1"/>
  <c r="M33" i="2"/>
  <c r="P33" i="2" s="1"/>
  <c r="M32" i="2"/>
  <c r="P32" i="2" s="1"/>
  <c r="P31" i="2"/>
  <c r="M31" i="2"/>
  <c r="M29" i="2" s="1"/>
  <c r="P29" i="2" s="1"/>
  <c r="P26" i="2"/>
  <c r="M26" i="2"/>
  <c r="N25" i="2"/>
  <c r="N15" i="2" s="1"/>
  <c r="M25" i="2"/>
  <c r="P25" i="2" s="1"/>
  <c r="L25" i="2"/>
  <c r="O25" i="2" s="1"/>
  <c r="P24" i="2"/>
  <c r="N24" i="2"/>
  <c r="M24" i="2"/>
  <c r="N23" i="2"/>
  <c r="M23" i="2"/>
  <c r="P23" i="2" s="1"/>
  <c r="N21" i="2"/>
  <c r="N19" i="2" s="1"/>
  <c r="M21" i="2"/>
  <c r="P21" i="2" s="1"/>
  <c r="L21" i="2"/>
  <c r="L19" i="2" s="1"/>
  <c r="M16" i="2"/>
  <c r="P16" i="2" s="1"/>
  <c r="M14" i="2"/>
  <c r="P14" i="2" s="1"/>
  <c r="J563" i="1"/>
  <c r="I563" i="1"/>
  <c r="J562" i="1"/>
  <c r="I562" i="1"/>
  <c r="I548" i="1"/>
  <c r="K548" i="1" s="1"/>
  <c r="I365" i="1"/>
  <c r="K365" i="1" s="1"/>
  <c r="L336" i="1"/>
  <c r="N332" i="1"/>
  <c r="M332" i="1"/>
  <c r="L332" i="1"/>
  <c r="O332" i="1" s="1"/>
  <c r="L317" i="1"/>
  <c r="N313" i="1"/>
  <c r="M313" i="1"/>
  <c r="L313" i="1"/>
  <c r="O313" i="1" s="1"/>
  <c r="J307" i="1"/>
  <c r="L297" i="1"/>
  <c r="N293" i="1"/>
  <c r="M293" i="1"/>
  <c r="L293" i="1"/>
  <c r="O293" i="1" s="1"/>
  <c r="N291" i="1"/>
  <c r="L291" i="1"/>
  <c r="O291" i="1" s="1"/>
  <c r="L278" i="1"/>
  <c r="N274" i="1"/>
  <c r="M274" i="1"/>
  <c r="L274" i="1"/>
  <c r="O274" i="1" s="1"/>
  <c r="L272" i="1"/>
  <c r="O272" i="1" s="1"/>
  <c r="L257" i="1"/>
  <c r="O253" i="1"/>
  <c r="N253" i="1"/>
  <c r="M253" i="1"/>
  <c r="L253" i="1"/>
  <c r="N251" i="1"/>
  <c r="L251" i="1"/>
  <c r="O251" i="1" s="1"/>
  <c r="J240" i="1"/>
  <c r="L227" i="1"/>
  <c r="N223" i="1"/>
  <c r="M223" i="1"/>
  <c r="L223" i="1"/>
  <c r="O223" i="1" s="1"/>
  <c r="J214" i="1"/>
  <c r="I214" i="1"/>
  <c r="J198" i="1"/>
  <c r="L147" i="1"/>
  <c r="N143" i="1"/>
  <c r="M143" i="1"/>
  <c r="L143" i="1"/>
  <c r="O143" i="1" s="1"/>
  <c r="N141" i="1"/>
  <c r="L125" i="1"/>
  <c r="O121" i="1"/>
  <c r="N121" i="1"/>
  <c r="M121" i="1"/>
  <c r="L121" i="1"/>
  <c r="M119" i="1"/>
  <c r="P119" i="1" s="1"/>
  <c r="L101" i="1"/>
  <c r="N97" i="1"/>
  <c r="N21" i="1" s="1"/>
  <c r="M97" i="1"/>
  <c r="L97" i="1"/>
  <c r="O97" i="1" s="1"/>
  <c r="N95" i="1"/>
  <c r="L73" i="1"/>
  <c r="O69" i="1"/>
  <c r="N69" i="1"/>
  <c r="M69" i="1"/>
  <c r="L69" i="1"/>
  <c r="M67" i="1"/>
  <c r="P67" i="1" s="1"/>
  <c r="L60" i="1"/>
  <c r="L25" i="1" s="1"/>
  <c r="O25" i="1" s="1"/>
  <c r="L56" i="1"/>
  <c r="P54" i="1"/>
  <c r="N54" i="1"/>
  <c r="M54" i="1"/>
  <c r="L48" i="1"/>
  <c r="L44" i="1"/>
  <c r="L42" i="1" s="1"/>
  <c r="N42" i="1"/>
  <c r="M42" i="1"/>
  <c r="P42" i="1" s="1"/>
  <c r="P36" i="1"/>
  <c r="O36" i="1"/>
  <c r="P35" i="1"/>
  <c r="O35" i="1"/>
  <c r="M34" i="1"/>
  <c r="P34" i="1" s="1"/>
  <c r="M33" i="1"/>
  <c r="P33" i="1" s="1"/>
  <c r="P32" i="1"/>
  <c r="M32" i="1"/>
  <c r="M30" i="1" s="1"/>
  <c r="P30" i="1" s="1"/>
  <c r="M31" i="1"/>
  <c r="P31" i="1" s="1"/>
  <c r="M26" i="1"/>
  <c r="P26" i="1" s="1"/>
  <c r="N25" i="1"/>
  <c r="N15" i="1" s="1"/>
  <c r="M25" i="1"/>
  <c r="P25" i="1" s="1"/>
  <c r="N24" i="1"/>
  <c r="M24" i="1"/>
  <c r="P24" i="1" s="1"/>
  <c r="N23" i="1"/>
  <c r="M23" i="1"/>
  <c r="P23" i="1" s="1"/>
  <c r="M15" i="1"/>
  <c r="P15" i="1" s="1"/>
  <c r="O21" i="2" l="1"/>
  <c r="L67" i="1"/>
  <c r="O67" i="1" s="1"/>
  <c r="L15" i="2"/>
  <c r="O15" i="2" s="1"/>
  <c r="O311" i="2"/>
  <c r="M14" i="3"/>
  <c r="P14" i="3" s="1"/>
  <c r="P221" i="3"/>
  <c r="M14" i="4"/>
  <c r="P14" i="4" s="1"/>
  <c r="P31" i="4"/>
  <c r="O21" i="5"/>
  <c r="O21" i="6"/>
  <c r="P24" i="7"/>
  <c r="P31" i="7"/>
  <c r="O21" i="8"/>
  <c r="M271" i="8"/>
  <c r="P31" i="9"/>
  <c r="M13" i="10"/>
  <c r="P13" i="10" s="1"/>
  <c r="P21" i="10"/>
  <c r="L19" i="13"/>
  <c r="O19" i="13" s="1"/>
  <c r="M19" i="14"/>
  <c r="P26" i="14"/>
  <c r="P25" i="15"/>
  <c r="M16" i="17"/>
  <c r="P16" i="17" s="1"/>
  <c r="M14" i="17"/>
  <c r="P14" i="17" s="1"/>
  <c r="P24" i="18"/>
  <c r="M272" i="1"/>
  <c r="P272" i="1" s="1"/>
  <c r="M291" i="1"/>
  <c r="P291" i="1" s="1"/>
  <c r="M29" i="1"/>
  <c r="M28" i="1" s="1"/>
  <c r="P28" i="1" s="1"/>
  <c r="M21" i="1"/>
  <c r="L330" i="1"/>
  <c r="O330" i="1" s="1"/>
  <c r="O95" i="2"/>
  <c r="N19" i="3"/>
  <c r="L15" i="4"/>
  <c r="O15" i="4" s="1"/>
  <c r="M118" i="6"/>
  <c r="P21" i="8"/>
  <c r="M15" i="10"/>
  <c r="P15" i="10" s="1"/>
  <c r="L15" i="12"/>
  <c r="O15" i="12" s="1"/>
  <c r="O21" i="12"/>
  <c r="M19" i="15"/>
  <c r="P19" i="15" s="1"/>
  <c r="M30" i="16"/>
  <c r="M41" i="16"/>
  <c r="M16" i="3"/>
  <c r="P16" i="3" s="1"/>
  <c r="M330" i="1"/>
  <c r="P330" i="1" s="1"/>
  <c r="O21" i="3"/>
  <c r="M141" i="1"/>
  <c r="P141" i="1" s="1"/>
  <c r="M220" i="3"/>
  <c r="M19" i="5"/>
  <c r="M118" i="5"/>
  <c r="M41" i="6"/>
  <c r="M14" i="8"/>
  <c r="P14" i="8" s="1"/>
  <c r="M13" i="9"/>
  <c r="P13" i="9" s="1"/>
  <c r="M16" i="11"/>
  <c r="P16" i="11" s="1"/>
  <c r="M30" i="13"/>
  <c r="P30" i="13" s="1"/>
  <c r="P24" i="14"/>
  <c r="P23" i="15"/>
  <c r="P24" i="17"/>
  <c r="M94" i="17"/>
  <c r="N19" i="18"/>
  <c r="M11" i="6"/>
  <c r="P11" i="6" s="1"/>
  <c r="M30" i="6"/>
  <c r="P30" i="6" s="1"/>
  <c r="O21" i="7"/>
  <c r="M30" i="8"/>
  <c r="P30" i="8" s="1"/>
  <c r="M11" i="11"/>
  <c r="P11" i="11" s="1"/>
  <c r="M220" i="14"/>
  <c r="M13" i="17"/>
  <c r="P13" i="17" s="1"/>
  <c r="M13" i="1"/>
  <c r="P13" i="1" s="1"/>
  <c r="L54" i="1"/>
  <c r="P31" i="6"/>
  <c r="M15" i="8"/>
  <c r="P15" i="8" s="1"/>
  <c r="P32" i="10"/>
  <c r="M13" i="11"/>
  <c r="P13" i="11" s="1"/>
  <c r="M19" i="11"/>
  <c r="P19" i="11" s="1"/>
  <c r="P31" i="11"/>
  <c r="M15" i="17"/>
  <c r="P15" i="17" s="1"/>
  <c r="M16" i="18"/>
  <c r="P16" i="18" s="1"/>
  <c r="L141" i="1"/>
  <c r="O141" i="1" s="1"/>
  <c r="L19" i="9"/>
  <c r="O19" i="9" s="1"/>
  <c r="M14" i="16"/>
  <c r="P14" i="16" s="1"/>
  <c r="N273" i="3"/>
  <c r="N271" i="3" s="1"/>
  <c r="K482" i="8"/>
  <c r="O535" i="8"/>
  <c r="K563" i="8"/>
  <c r="K580" i="8"/>
  <c r="K149" i="8"/>
  <c r="N312" i="16"/>
  <c r="N310" i="16" s="1"/>
  <c r="O457" i="3"/>
  <c r="K481" i="10"/>
  <c r="K595" i="10"/>
  <c r="K376" i="11"/>
  <c r="K397" i="11"/>
  <c r="O406" i="11"/>
  <c r="N55" i="12"/>
  <c r="N53" i="12" s="1"/>
  <c r="N312" i="15"/>
  <c r="N310" i="15" s="1"/>
  <c r="K497" i="11"/>
  <c r="K563" i="11"/>
  <c r="O568" i="11"/>
  <c r="K375" i="12"/>
  <c r="O582" i="18"/>
  <c r="K593" i="18"/>
  <c r="K620" i="18"/>
  <c r="K380" i="2"/>
  <c r="O385" i="2"/>
  <c r="K397" i="2"/>
  <c r="N96" i="3"/>
  <c r="K593" i="3"/>
  <c r="K375" i="4"/>
  <c r="O599" i="4"/>
  <c r="K629" i="4"/>
  <c r="K635" i="4"/>
  <c r="K591" i="8"/>
  <c r="K597" i="8"/>
  <c r="O599" i="8"/>
  <c r="K189" i="6"/>
  <c r="K619" i="9"/>
  <c r="L314" i="5"/>
  <c r="O314" i="5" s="1"/>
  <c r="O437" i="5"/>
  <c r="K173" i="6"/>
  <c r="K200" i="6"/>
  <c r="K427" i="16"/>
  <c r="O459" i="16"/>
  <c r="K396" i="2"/>
  <c r="O406" i="12"/>
  <c r="K499" i="12"/>
  <c r="M252" i="10"/>
  <c r="M250" i="10" s="1"/>
  <c r="P250" i="10" s="1"/>
  <c r="N331" i="15"/>
  <c r="N329" i="15" s="1"/>
  <c r="N142" i="8"/>
  <c r="N140" i="8" s="1"/>
  <c r="K83" i="15"/>
  <c r="K132" i="15"/>
  <c r="N252" i="2"/>
  <c r="N250" i="2" s="1"/>
  <c r="N273" i="6"/>
  <c r="P273" i="6" s="1"/>
  <c r="N43" i="13"/>
  <c r="N41" i="13" s="1"/>
  <c r="K416" i="13"/>
  <c r="J266" i="1"/>
  <c r="K341" i="2"/>
  <c r="I475" i="1"/>
  <c r="K475" i="1" s="1"/>
  <c r="O564" i="2"/>
  <c r="O584" i="4"/>
  <c r="J231" i="1"/>
  <c r="L533" i="1"/>
  <c r="K631" i="6"/>
  <c r="K464" i="7"/>
  <c r="K473" i="7"/>
  <c r="K563" i="7"/>
  <c r="O568" i="7"/>
  <c r="K573" i="7"/>
  <c r="K580" i="7"/>
  <c r="O582" i="7"/>
  <c r="N252" i="10"/>
  <c r="N250" i="10" s="1"/>
  <c r="K629" i="13"/>
  <c r="K635" i="13"/>
  <c r="M68" i="5"/>
  <c r="P68" i="5" s="1"/>
  <c r="M292" i="5"/>
  <c r="P292" i="5" s="1"/>
  <c r="M312" i="5"/>
  <c r="P312" i="5" s="1"/>
  <c r="K629" i="18"/>
  <c r="K632" i="18"/>
  <c r="K229" i="2"/>
  <c r="I343" i="1"/>
  <c r="L352" i="1"/>
  <c r="J380" i="1"/>
  <c r="N382" i="1"/>
  <c r="J392" i="1"/>
  <c r="J397" i="1"/>
  <c r="N403" i="1"/>
  <c r="N406" i="1"/>
  <c r="J413" i="1"/>
  <c r="J423" i="1"/>
  <c r="J449" i="1"/>
  <c r="O455" i="3"/>
  <c r="K368" i="4"/>
  <c r="K285" i="6"/>
  <c r="L314" i="6"/>
  <c r="O314" i="6" s="1"/>
  <c r="K465" i="6"/>
  <c r="L98" i="7"/>
  <c r="O98" i="7" s="1"/>
  <c r="K429" i="18"/>
  <c r="I483" i="1"/>
  <c r="K483" i="1" s="1"/>
  <c r="J447" i="1"/>
  <c r="O380" i="4"/>
  <c r="I429" i="1"/>
  <c r="L314" i="10"/>
  <c r="O314" i="10" s="1"/>
  <c r="K328" i="10"/>
  <c r="N331" i="10"/>
  <c r="N329" i="10" s="1"/>
  <c r="K200" i="11"/>
  <c r="K199" i="12"/>
  <c r="K533" i="12"/>
  <c r="K563" i="12"/>
  <c r="P275" i="14"/>
  <c r="K630" i="14"/>
  <c r="P122" i="17"/>
  <c r="I306" i="1"/>
  <c r="J112" i="1"/>
  <c r="N55" i="7"/>
  <c r="N53" i="7" s="1"/>
  <c r="P294" i="9"/>
  <c r="K573" i="9"/>
  <c r="K580" i="9"/>
  <c r="I149" i="1"/>
  <c r="J526" i="1"/>
  <c r="K416" i="9"/>
  <c r="I516" i="1"/>
  <c r="I525" i="1"/>
  <c r="I421" i="1"/>
  <c r="I464" i="1"/>
  <c r="I473" i="1"/>
  <c r="I527" i="1"/>
  <c r="K189" i="15"/>
  <c r="K428" i="3"/>
  <c r="I367" i="8"/>
  <c r="K367" i="8" s="1"/>
  <c r="K189" i="10"/>
  <c r="N142" i="11"/>
  <c r="N140" i="11" s="1"/>
  <c r="K176" i="11"/>
  <c r="K185" i="11"/>
  <c r="K189" i="11"/>
  <c r="K199" i="11"/>
  <c r="K229" i="16"/>
  <c r="K132" i="17"/>
  <c r="K176" i="17"/>
  <c r="K185" i="17"/>
  <c r="K199" i="17"/>
  <c r="I520" i="1"/>
  <c r="K614" i="3"/>
  <c r="K109" i="4"/>
  <c r="K595" i="4"/>
  <c r="O597" i="4"/>
  <c r="O597" i="6"/>
  <c r="K614" i="6"/>
  <c r="I235" i="1"/>
  <c r="J245" i="1"/>
  <c r="K420" i="7"/>
  <c r="K426" i="7"/>
  <c r="K432" i="7"/>
  <c r="K466" i="7"/>
  <c r="K481" i="7"/>
  <c r="K499" i="7"/>
  <c r="O537" i="7"/>
  <c r="K562" i="7"/>
  <c r="O564" i="7"/>
  <c r="O584" i="7"/>
  <c r="O347" i="8"/>
  <c r="K350" i="8"/>
  <c r="L275" i="10"/>
  <c r="L273" i="10" s="1"/>
  <c r="K431" i="10"/>
  <c r="K435" i="10"/>
  <c r="K564" i="10"/>
  <c r="K372" i="11"/>
  <c r="K431" i="11"/>
  <c r="L333" i="12"/>
  <c r="O333" i="12" s="1"/>
  <c r="K340" i="12"/>
  <c r="K343" i="12"/>
  <c r="O349" i="12"/>
  <c r="O352" i="12"/>
  <c r="K370" i="15"/>
  <c r="K622" i="18"/>
  <c r="I507" i="1"/>
  <c r="K507" i="1" s="1"/>
  <c r="N68" i="3"/>
  <c r="P68" i="3" s="1"/>
  <c r="J81" i="1"/>
  <c r="J184" i="1"/>
  <c r="I229" i="1"/>
  <c r="L255" i="1"/>
  <c r="I533" i="1"/>
  <c r="L568" i="1"/>
  <c r="I580" i="1"/>
  <c r="K81" i="4"/>
  <c r="L295" i="1"/>
  <c r="K370" i="4"/>
  <c r="K402" i="4"/>
  <c r="K416" i="4"/>
  <c r="J428" i="1"/>
  <c r="J477" i="1"/>
  <c r="J480" i="1"/>
  <c r="J486" i="1"/>
  <c r="J498" i="1"/>
  <c r="O459" i="5"/>
  <c r="L144" i="6"/>
  <c r="O144" i="6" s="1"/>
  <c r="K482" i="7"/>
  <c r="K497" i="7"/>
  <c r="K533" i="7"/>
  <c r="O535" i="7"/>
  <c r="K112" i="8"/>
  <c r="N252" i="8"/>
  <c r="N250" i="8" s="1"/>
  <c r="P57" i="11"/>
  <c r="L225" i="1"/>
  <c r="J236" i="1"/>
  <c r="J78" i="1"/>
  <c r="J241" i="1"/>
  <c r="L258" i="1"/>
  <c r="O258" i="1" s="1"/>
  <c r="N355" i="1"/>
  <c r="J362" i="1"/>
  <c r="J373" i="1"/>
  <c r="J376" i="1"/>
  <c r="J401" i="1"/>
  <c r="J417" i="1"/>
  <c r="J420" i="1"/>
  <c r="J432" i="1"/>
  <c r="N435" i="1"/>
  <c r="N443" i="1"/>
  <c r="J452" i="1"/>
  <c r="I526" i="1"/>
  <c r="J281" i="1"/>
  <c r="J286" i="1"/>
  <c r="J302" i="1"/>
  <c r="L385" i="1"/>
  <c r="J391" i="1"/>
  <c r="I401" i="1"/>
  <c r="N442" i="1"/>
  <c r="L254" i="5"/>
  <c r="O254" i="5" s="1"/>
  <c r="K285" i="12"/>
  <c r="K397" i="12"/>
  <c r="N222" i="15"/>
  <c r="N220" i="15" s="1"/>
  <c r="J341" i="1"/>
  <c r="K431" i="15"/>
  <c r="O437" i="15"/>
  <c r="K455" i="15"/>
  <c r="I522" i="1"/>
  <c r="K547" i="15"/>
  <c r="K416" i="18"/>
  <c r="O599" i="18"/>
  <c r="K621" i="18"/>
  <c r="K623" i="18"/>
  <c r="J185" i="1"/>
  <c r="J283" i="1"/>
  <c r="I341" i="1"/>
  <c r="I418" i="1"/>
  <c r="I427" i="1"/>
  <c r="J360" i="1"/>
  <c r="L254" i="6"/>
  <c r="O254" i="6" s="1"/>
  <c r="N68" i="7"/>
  <c r="N66" i="7" s="1"/>
  <c r="J90" i="1"/>
  <c r="K285" i="8"/>
  <c r="O457" i="8"/>
  <c r="K465" i="8"/>
  <c r="O566" i="8"/>
  <c r="O337" i="9"/>
  <c r="I449" i="1"/>
  <c r="I466" i="1"/>
  <c r="I529" i="1"/>
  <c r="K377" i="12"/>
  <c r="N68" i="13"/>
  <c r="N66" i="13" s="1"/>
  <c r="N252" i="13"/>
  <c r="N250" i="13" s="1"/>
  <c r="J514" i="1"/>
  <c r="J517" i="1"/>
  <c r="J520" i="1"/>
  <c r="J523" i="1"/>
  <c r="J529" i="1"/>
  <c r="J532" i="1"/>
  <c r="N534" i="1"/>
  <c r="J104" i="1"/>
  <c r="I158" i="1"/>
  <c r="J172" i="1"/>
  <c r="J189" i="1"/>
  <c r="N292" i="16"/>
  <c r="N290" i="16" s="1"/>
  <c r="N98" i="1"/>
  <c r="N144" i="1"/>
  <c r="K80" i="3"/>
  <c r="I367" i="4"/>
  <c r="K367" i="4" s="1"/>
  <c r="J323" i="1"/>
  <c r="J328" i="1"/>
  <c r="P333" i="5"/>
  <c r="K345" i="5"/>
  <c r="J365" i="1"/>
  <c r="J375" i="1"/>
  <c r="J422" i="1"/>
  <c r="K345" i="7"/>
  <c r="O457" i="7"/>
  <c r="K629" i="7"/>
  <c r="K635" i="7"/>
  <c r="L45" i="8"/>
  <c r="O45" i="8" s="1"/>
  <c r="K82" i="8"/>
  <c r="K88" i="8"/>
  <c r="K267" i="8"/>
  <c r="L333" i="8"/>
  <c r="O333" i="8" s="1"/>
  <c r="O537" i="8"/>
  <c r="P70" i="10"/>
  <c r="K201" i="10"/>
  <c r="K340" i="10"/>
  <c r="K343" i="10"/>
  <c r="L333" i="11"/>
  <c r="L331" i="11" s="1"/>
  <c r="L329" i="11" s="1"/>
  <c r="I372" i="1"/>
  <c r="K430" i="13"/>
  <c r="K450" i="13"/>
  <c r="K563" i="13"/>
  <c r="K422" i="14"/>
  <c r="K425" i="14"/>
  <c r="K431" i="14"/>
  <c r="K435" i="14"/>
  <c r="O437" i="14"/>
  <c r="K465" i="14"/>
  <c r="K474" i="14"/>
  <c r="K498" i="14"/>
  <c r="O533" i="14"/>
  <c r="K547" i="14"/>
  <c r="K551" i="14"/>
  <c r="K564" i="14"/>
  <c r="K591" i="14"/>
  <c r="K110" i="17"/>
  <c r="L144" i="17"/>
  <c r="O144" i="17" s="1"/>
  <c r="I346" i="1"/>
  <c r="K346" i="1" s="1"/>
  <c r="P45" i="2"/>
  <c r="J238" i="1"/>
  <c r="J300" i="1"/>
  <c r="J321" i="1"/>
  <c r="L333" i="3"/>
  <c r="L331" i="3" s="1"/>
  <c r="L329" i="3" s="1"/>
  <c r="I371" i="1"/>
  <c r="K371" i="1" s="1"/>
  <c r="L380" i="1"/>
  <c r="J393" i="1"/>
  <c r="I424" i="1"/>
  <c r="I430" i="1"/>
  <c r="J433" i="1"/>
  <c r="K450" i="3"/>
  <c r="J466" i="1"/>
  <c r="J481" i="1"/>
  <c r="J490" i="1"/>
  <c r="K372" i="4"/>
  <c r="N540" i="1"/>
  <c r="N556" i="1"/>
  <c r="O601" i="4"/>
  <c r="K634" i="4"/>
  <c r="K612" i="5"/>
  <c r="K618" i="5"/>
  <c r="K149" i="6"/>
  <c r="K267" i="6"/>
  <c r="O337" i="10"/>
  <c r="O380" i="10"/>
  <c r="K533" i="10"/>
  <c r="K573" i="10"/>
  <c r="K634" i="10"/>
  <c r="K267" i="11"/>
  <c r="K345" i="12"/>
  <c r="N273" i="13"/>
  <c r="P273" i="13" s="1"/>
  <c r="P45" i="14"/>
  <c r="L294" i="14"/>
  <c r="L292" i="14" s="1"/>
  <c r="K427" i="15"/>
  <c r="K430" i="15"/>
  <c r="K563" i="15"/>
  <c r="O568" i="15"/>
  <c r="K573" i="15"/>
  <c r="K132" i="16"/>
  <c r="O455" i="16"/>
  <c r="K341" i="17"/>
  <c r="K435" i="17"/>
  <c r="O437" i="17"/>
  <c r="K455" i="17"/>
  <c r="O457" i="17"/>
  <c r="L98" i="18"/>
  <c r="O98" i="18" s="1"/>
  <c r="K110" i="18"/>
  <c r="K113" i="18"/>
  <c r="I477" i="1"/>
  <c r="K477" i="1" s="1"/>
  <c r="J547" i="1"/>
  <c r="N566" i="1"/>
  <c r="I634" i="1"/>
  <c r="N224" i="1"/>
  <c r="L337" i="1"/>
  <c r="J615" i="1"/>
  <c r="P294" i="14"/>
  <c r="M292" i="14"/>
  <c r="M290" i="14" s="1"/>
  <c r="P290" i="14" s="1"/>
  <c r="I369" i="1"/>
  <c r="K369" i="1" s="1"/>
  <c r="I486" i="1"/>
  <c r="K486" i="1" s="1"/>
  <c r="N536" i="1"/>
  <c r="N570" i="1"/>
  <c r="O383" i="3"/>
  <c r="N74" i="1"/>
  <c r="M144" i="1"/>
  <c r="L436" i="1"/>
  <c r="O436" i="1" s="1"/>
  <c r="I469" i="1"/>
  <c r="K469" i="1" s="1"/>
  <c r="J242" i="1"/>
  <c r="L439" i="1"/>
  <c r="J416" i="1"/>
  <c r="J419" i="1"/>
  <c r="J425" i="1"/>
  <c r="K376" i="4"/>
  <c r="N555" i="1"/>
  <c r="J560" i="1"/>
  <c r="J577" i="1"/>
  <c r="N32" i="14"/>
  <c r="N30" i="14" s="1"/>
  <c r="I510" i="1"/>
  <c r="K510" i="1" s="1"/>
  <c r="N541" i="1"/>
  <c r="J575" i="1"/>
  <c r="O401" i="3"/>
  <c r="I514" i="1"/>
  <c r="K514" i="1" s="1"/>
  <c r="L536" i="1"/>
  <c r="O536" i="1" s="1"/>
  <c r="N337" i="1"/>
  <c r="I480" i="1"/>
  <c r="K480" i="1" s="1"/>
  <c r="J203" i="1"/>
  <c r="J445" i="1"/>
  <c r="J493" i="1"/>
  <c r="I264" i="1"/>
  <c r="L318" i="1"/>
  <c r="O318" i="1" s="1"/>
  <c r="N385" i="1"/>
  <c r="L456" i="1"/>
  <c r="O456" i="1" s="1"/>
  <c r="I472" i="1"/>
  <c r="K472" i="1" s="1"/>
  <c r="I577" i="1"/>
  <c r="K577" i="1" s="1"/>
  <c r="P98" i="2"/>
  <c r="M96" i="2"/>
  <c r="P96" i="2" s="1"/>
  <c r="I628" i="1"/>
  <c r="I497" i="1"/>
  <c r="I518" i="1"/>
  <c r="N551" i="1"/>
  <c r="N581" i="1"/>
  <c r="K612" i="4"/>
  <c r="N61" i="1"/>
  <c r="K482" i="5"/>
  <c r="K497" i="5"/>
  <c r="O535" i="5"/>
  <c r="P98" i="9"/>
  <c r="M96" i="9"/>
  <c r="P96" i="9" s="1"/>
  <c r="N557" i="1"/>
  <c r="K427" i="3"/>
  <c r="M98" i="1"/>
  <c r="P98" i="1" s="1"/>
  <c r="J246" i="1"/>
  <c r="I265" i="1"/>
  <c r="L403" i="1"/>
  <c r="O403" i="1" s="1"/>
  <c r="L458" i="1"/>
  <c r="O458" i="1" s="1"/>
  <c r="I504" i="1"/>
  <c r="K504" i="1" s="1"/>
  <c r="J83" i="1"/>
  <c r="J86" i="1"/>
  <c r="J217" i="1"/>
  <c r="J269" i="1"/>
  <c r="L279" i="1"/>
  <c r="O279" i="1" s="1"/>
  <c r="I285" i="1"/>
  <c r="J306" i="1"/>
  <c r="I328" i="1"/>
  <c r="J344" i="1"/>
  <c r="N388" i="1"/>
  <c r="J399" i="1"/>
  <c r="N409" i="1"/>
  <c r="I416" i="1"/>
  <c r="I422" i="1"/>
  <c r="I428" i="1"/>
  <c r="I487" i="1"/>
  <c r="K487" i="1" s="1"/>
  <c r="J595" i="1"/>
  <c r="L57" i="12"/>
  <c r="L55" i="12" s="1"/>
  <c r="O55" i="12" s="1"/>
  <c r="K133" i="16"/>
  <c r="P144" i="16"/>
  <c r="K591" i="16"/>
  <c r="K270" i="18"/>
  <c r="K149" i="2"/>
  <c r="J371" i="1"/>
  <c r="J374" i="1"/>
  <c r="J377" i="1"/>
  <c r="N380" i="1"/>
  <c r="N408" i="1"/>
  <c r="J415" i="1"/>
  <c r="J421" i="1"/>
  <c r="J424" i="1"/>
  <c r="J430" i="1"/>
  <c r="K430" i="1" s="1"/>
  <c r="J434" i="1"/>
  <c r="K138" i="3"/>
  <c r="N222" i="3"/>
  <c r="P222" i="3" s="1"/>
  <c r="N440" i="1"/>
  <c r="I455" i="1"/>
  <c r="O459" i="3"/>
  <c r="K86" i="4"/>
  <c r="L98" i="4"/>
  <c r="O98" i="4" s="1"/>
  <c r="K110" i="4"/>
  <c r="K185" i="4"/>
  <c r="K377" i="4"/>
  <c r="L122" i="5"/>
  <c r="O122" i="5" s="1"/>
  <c r="K219" i="5"/>
  <c r="K562" i="5"/>
  <c r="O564" i="5"/>
  <c r="N68" i="6"/>
  <c r="N66" i="6" s="1"/>
  <c r="N252" i="7"/>
  <c r="N250" i="7" s="1"/>
  <c r="O597" i="7"/>
  <c r="K619" i="7"/>
  <c r="K64" i="8"/>
  <c r="K80" i="8"/>
  <c r="O584" i="8"/>
  <c r="K589" i="8"/>
  <c r="K595" i="8"/>
  <c r="O597" i="8"/>
  <c r="N120" i="9"/>
  <c r="N118" i="9" s="1"/>
  <c r="N252" i="9"/>
  <c r="N250" i="9" s="1"/>
  <c r="N292" i="9"/>
  <c r="N290" i="9" s="1"/>
  <c r="K430" i="9"/>
  <c r="K381" i="10"/>
  <c r="K419" i="11"/>
  <c r="K498" i="11"/>
  <c r="N331" i="12"/>
  <c r="N329" i="12" s="1"/>
  <c r="O566" i="12"/>
  <c r="O385" i="15"/>
  <c r="K401" i="15"/>
  <c r="O406" i="15"/>
  <c r="K417" i="15"/>
  <c r="K633" i="15"/>
  <c r="K432" i="18"/>
  <c r="O455" i="18"/>
  <c r="O537" i="18"/>
  <c r="L72" i="1"/>
  <c r="J82" i="1"/>
  <c r="J107" i="1"/>
  <c r="J110" i="1"/>
  <c r="J113" i="1"/>
  <c r="L123" i="1"/>
  <c r="J134" i="1"/>
  <c r="N228" i="1"/>
  <c r="J234" i="1"/>
  <c r="J244" i="1"/>
  <c r="K345" i="2"/>
  <c r="J149" i="1"/>
  <c r="I164" i="1"/>
  <c r="I173" i="1"/>
  <c r="J181" i="1"/>
  <c r="J342" i="1"/>
  <c r="J349" i="1"/>
  <c r="J366" i="1"/>
  <c r="J518" i="1"/>
  <c r="J521" i="1"/>
  <c r="J524" i="1"/>
  <c r="J527" i="1"/>
  <c r="J530" i="1"/>
  <c r="J533" i="1"/>
  <c r="J133" i="1"/>
  <c r="J284" i="1"/>
  <c r="K309" i="4"/>
  <c r="J450" i="1"/>
  <c r="N459" i="1"/>
  <c r="J470" i="1"/>
  <c r="J473" i="1"/>
  <c r="J476" i="1"/>
  <c r="J488" i="1"/>
  <c r="K398" i="5"/>
  <c r="N120" i="6"/>
  <c r="N118" i="6" s="1"/>
  <c r="P118" i="6" s="1"/>
  <c r="N120" i="8"/>
  <c r="N118" i="8" s="1"/>
  <c r="K189" i="8"/>
  <c r="L294" i="9"/>
  <c r="O294" i="9" s="1"/>
  <c r="O347" i="9"/>
  <c r="K350" i="9"/>
  <c r="K428" i="9"/>
  <c r="K199" i="10"/>
  <c r="L224" i="10"/>
  <c r="O224" i="10" s="1"/>
  <c r="N222" i="11"/>
  <c r="N220" i="11" s="1"/>
  <c r="L254" i="11"/>
  <c r="O254" i="11" s="1"/>
  <c r="K429" i="11"/>
  <c r="K189" i="13"/>
  <c r="O584" i="14"/>
  <c r="K563" i="16"/>
  <c r="L57" i="17"/>
  <c r="L55" i="17" s="1"/>
  <c r="K345" i="17"/>
  <c r="K349" i="17"/>
  <c r="J85" i="1"/>
  <c r="J263" i="1"/>
  <c r="I519" i="1"/>
  <c r="I528" i="1"/>
  <c r="I531" i="1"/>
  <c r="I547" i="1"/>
  <c r="I551" i="1"/>
  <c r="L553" i="1"/>
  <c r="I110" i="1"/>
  <c r="I113" i="1"/>
  <c r="N122" i="1"/>
  <c r="J129" i="1"/>
  <c r="K265" i="3"/>
  <c r="J492" i="1"/>
  <c r="J495" i="1"/>
  <c r="J501" i="1"/>
  <c r="J504" i="1"/>
  <c r="N292" i="4"/>
  <c r="N290" i="4" s="1"/>
  <c r="O537" i="5"/>
  <c r="K417" i="6"/>
  <c r="O455" i="6"/>
  <c r="K80" i="7"/>
  <c r="K86" i="7"/>
  <c r="K133" i="8"/>
  <c r="K562" i="9"/>
  <c r="K200" i="10"/>
  <c r="M292" i="10"/>
  <c r="P292" i="10" s="1"/>
  <c r="N312" i="10"/>
  <c r="N310" i="10" s="1"/>
  <c r="N96" i="11"/>
  <c r="N94" i="11" s="1"/>
  <c r="P224" i="11"/>
  <c r="K235" i="11"/>
  <c r="K418" i="11"/>
  <c r="K421" i="11"/>
  <c r="N273" i="12"/>
  <c r="N271" i="12" s="1"/>
  <c r="O337" i="12"/>
  <c r="K341" i="12"/>
  <c r="K450" i="12"/>
  <c r="M292" i="13"/>
  <c r="M290" i="13" s="1"/>
  <c r="P290" i="13" s="1"/>
  <c r="N312" i="13"/>
  <c r="N310" i="13" s="1"/>
  <c r="L333" i="13"/>
  <c r="O333" i="13" s="1"/>
  <c r="K435" i="13"/>
  <c r="K533" i="13"/>
  <c r="N68" i="14"/>
  <c r="N66" i="14" s="1"/>
  <c r="L98" i="14"/>
  <c r="L96" i="14" s="1"/>
  <c r="L144" i="14"/>
  <c r="O144" i="14" s="1"/>
  <c r="K421" i="14"/>
  <c r="K464" i="14"/>
  <c r="K473" i="14"/>
  <c r="K482" i="14"/>
  <c r="K497" i="14"/>
  <c r="K533" i="14"/>
  <c r="K560" i="14"/>
  <c r="K563" i="14"/>
  <c r="O568" i="14"/>
  <c r="K573" i="14"/>
  <c r="K229" i="15"/>
  <c r="N273" i="15"/>
  <c r="P273" i="15" s="1"/>
  <c r="K417" i="16"/>
  <c r="N252" i="17"/>
  <c r="N250" i="17" s="1"/>
  <c r="N331" i="17"/>
  <c r="N329" i="17" s="1"/>
  <c r="N252" i="18"/>
  <c r="N250" i="18" s="1"/>
  <c r="K625" i="18"/>
  <c r="J502" i="1"/>
  <c r="J625" i="1"/>
  <c r="J629" i="1"/>
  <c r="N603" i="1"/>
  <c r="J613" i="1"/>
  <c r="I500" i="1"/>
  <c r="K500" i="1" s="1"/>
  <c r="I509" i="1"/>
  <c r="K509" i="1" s="1"/>
  <c r="L565" i="1"/>
  <c r="O565" i="1" s="1"/>
  <c r="J155" i="1"/>
  <c r="J160" i="1"/>
  <c r="J169" i="1"/>
  <c r="J196" i="1"/>
  <c r="I431" i="1"/>
  <c r="N439" i="1"/>
  <c r="J446" i="1"/>
  <c r="I417" i="1"/>
  <c r="J431" i="1"/>
  <c r="N437" i="1"/>
  <c r="K628" i="3"/>
  <c r="K634" i="3"/>
  <c r="J108" i="1"/>
  <c r="J115" i="1"/>
  <c r="J130" i="1"/>
  <c r="K164" i="4"/>
  <c r="K186" i="4"/>
  <c r="K200" i="4"/>
  <c r="N222" i="5"/>
  <c r="N220" i="5" s="1"/>
  <c r="L406" i="1"/>
  <c r="O406" i="1" s="1"/>
  <c r="J412" i="1"/>
  <c r="I613" i="1"/>
  <c r="J343" i="1"/>
  <c r="J346" i="1"/>
  <c r="N349" i="1"/>
  <c r="N352" i="1"/>
  <c r="N356" i="1"/>
  <c r="J363" i="1"/>
  <c r="I133" i="1"/>
  <c r="I350" i="1"/>
  <c r="L459" i="1"/>
  <c r="J467" i="1"/>
  <c r="K473" i="2"/>
  <c r="J491" i="1"/>
  <c r="K64" i="3"/>
  <c r="K82" i="3"/>
  <c r="K88" i="3"/>
  <c r="K93" i="3"/>
  <c r="K368" i="3"/>
  <c r="K377" i="3"/>
  <c r="K487" i="3"/>
  <c r="N55" i="4"/>
  <c r="N53" i="4" s="1"/>
  <c r="L70" i="4"/>
  <c r="O70" i="4" s="1"/>
  <c r="K93" i="4"/>
  <c r="J489" i="1"/>
  <c r="N142" i="5"/>
  <c r="N140" i="5" s="1"/>
  <c r="K199" i="5"/>
  <c r="K343" i="5"/>
  <c r="N32" i="6"/>
  <c r="N30" i="6" s="1"/>
  <c r="J474" i="1"/>
  <c r="J232" i="1"/>
  <c r="J249" i="1"/>
  <c r="J261" i="1"/>
  <c r="J265" i="1"/>
  <c r="N275" i="1"/>
  <c r="L583" i="1"/>
  <c r="O583" i="1" s="1"/>
  <c r="J324" i="1"/>
  <c r="K343" i="2"/>
  <c r="N538" i="1"/>
  <c r="J545" i="1"/>
  <c r="J549" i="1"/>
  <c r="O555" i="2"/>
  <c r="K560" i="2"/>
  <c r="O568" i="2"/>
  <c r="J607" i="1"/>
  <c r="I612" i="1"/>
  <c r="I615" i="1"/>
  <c r="I618" i="1"/>
  <c r="I621" i="1"/>
  <c r="K266" i="3"/>
  <c r="K285" i="3"/>
  <c r="L314" i="3"/>
  <c r="O314" i="3" s="1"/>
  <c r="K465" i="3"/>
  <c r="J578" i="1"/>
  <c r="K420" i="4"/>
  <c r="K432" i="4"/>
  <c r="O435" i="4"/>
  <c r="O455" i="4"/>
  <c r="K270" i="5"/>
  <c r="J188" i="1"/>
  <c r="J197" i="1"/>
  <c r="J623" i="1"/>
  <c r="J630" i="1"/>
  <c r="I88" i="1"/>
  <c r="I289" i="1"/>
  <c r="L353" i="1"/>
  <c r="O353" i="1" s="1"/>
  <c r="I496" i="1"/>
  <c r="K496" i="1" s="1"/>
  <c r="J77" i="1"/>
  <c r="J515" i="1"/>
  <c r="N120" i="3"/>
  <c r="N118" i="3" s="1"/>
  <c r="J170" i="1"/>
  <c r="J201" i="1"/>
  <c r="J282" i="1"/>
  <c r="J287" i="1"/>
  <c r="J303" i="1"/>
  <c r="N258" i="1"/>
  <c r="J264" i="1"/>
  <c r="I304" i="1"/>
  <c r="I506" i="1"/>
  <c r="K506" i="1" s="1"/>
  <c r="L99" i="1"/>
  <c r="K158" i="2"/>
  <c r="J194" i="1"/>
  <c r="K200" i="2"/>
  <c r="O404" i="2"/>
  <c r="K424" i="2"/>
  <c r="K430" i="2"/>
  <c r="K499" i="2"/>
  <c r="I505" i="1"/>
  <c r="K505" i="1" s="1"/>
  <c r="L580" i="1"/>
  <c r="N587" i="1"/>
  <c r="I591" i="1"/>
  <c r="I597" i="1"/>
  <c r="K264" i="3"/>
  <c r="K345" i="3"/>
  <c r="K416" i="3"/>
  <c r="K422" i="3"/>
  <c r="K611" i="3"/>
  <c r="K80" i="4"/>
  <c r="K87" i="4"/>
  <c r="O439" i="4"/>
  <c r="O459" i="4"/>
  <c r="L45" i="5"/>
  <c r="O45" i="5" s="1"/>
  <c r="K200" i="5"/>
  <c r="N273" i="5"/>
  <c r="N271" i="5" s="1"/>
  <c r="K465" i="5"/>
  <c r="N568" i="1"/>
  <c r="K628" i="5"/>
  <c r="K631" i="5"/>
  <c r="M254" i="1"/>
  <c r="L98" i="17"/>
  <c r="L96" i="17" s="1"/>
  <c r="K380" i="5"/>
  <c r="O385" i="5"/>
  <c r="K564" i="5"/>
  <c r="O580" i="5"/>
  <c r="K473" i="6"/>
  <c r="I517" i="1"/>
  <c r="I523" i="1"/>
  <c r="I532" i="1"/>
  <c r="L537" i="1"/>
  <c r="L564" i="1"/>
  <c r="N222" i="7"/>
  <c r="N220" i="7" s="1"/>
  <c r="K229" i="7"/>
  <c r="N273" i="7"/>
  <c r="N271" i="7" s="1"/>
  <c r="N222" i="8"/>
  <c r="N220" i="8" s="1"/>
  <c r="K229" i="8"/>
  <c r="K343" i="8"/>
  <c r="K368" i="8"/>
  <c r="K417" i="8"/>
  <c r="J499" i="1"/>
  <c r="J505" i="1"/>
  <c r="N222" i="9"/>
  <c r="N220" i="9" s="1"/>
  <c r="K418" i="9"/>
  <c r="K499" i="9"/>
  <c r="K86" i="10"/>
  <c r="K343" i="11"/>
  <c r="K426" i="11"/>
  <c r="O457" i="11"/>
  <c r="K595" i="11"/>
  <c r="K619" i="11"/>
  <c r="K630" i="11"/>
  <c r="K633" i="11"/>
  <c r="L275" i="12"/>
  <c r="O275" i="12" s="1"/>
  <c r="K589" i="14"/>
  <c r="K595" i="14"/>
  <c r="O597" i="14"/>
  <c r="L122" i="15"/>
  <c r="L120" i="15" s="1"/>
  <c r="L118" i="15" s="1"/>
  <c r="K270" i="15"/>
  <c r="K631" i="15"/>
  <c r="N55" i="16"/>
  <c r="N53" i="16" s="1"/>
  <c r="K368" i="16"/>
  <c r="O380" i="16"/>
  <c r="O406" i="16"/>
  <c r="K426" i="16"/>
  <c r="K429" i="16"/>
  <c r="K533" i="16"/>
  <c r="O535" i="16"/>
  <c r="K589" i="16"/>
  <c r="M273" i="17"/>
  <c r="P273" i="17" s="1"/>
  <c r="K398" i="17"/>
  <c r="O439" i="17"/>
  <c r="O459" i="17"/>
  <c r="O551" i="17"/>
  <c r="P70" i="18"/>
  <c r="K81" i="18"/>
  <c r="K87" i="18"/>
  <c r="P98" i="18"/>
  <c r="K264" i="18"/>
  <c r="K562" i="18"/>
  <c r="O564" i="18"/>
  <c r="O439" i="5"/>
  <c r="O597" i="5"/>
  <c r="N222" i="6"/>
  <c r="N220" i="6" s="1"/>
  <c r="L224" i="7"/>
  <c r="L222" i="7" s="1"/>
  <c r="K380" i="7"/>
  <c r="N142" i="9"/>
  <c r="N140" i="9" s="1"/>
  <c r="N120" i="10"/>
  <c r="N118" i="10" s="1"/>
  <c r="N273" i="10"/>
  <c r="N271" i="10" s="1"/>
  <c r="K466" i="10"/>
  <c r="N55" i="11"/>
  <c r="N53" i="11" s="1"/>
  <c r="L34" i="12"/>
  <c r="K219" i="13"/>
  <c r="K343" i="13"/>
  <c r="K422" i="13"/>
  <c r="K465" i="13"/>
  <c r="O383" i="14"/>
  <c r="K418" i="14"/>
  <c r="K219" i="15"/>
  <c r="L45" i="17"/>
  <c r="L43" i="17" s="1"/>
  <c r="N222" i="17"/>
  <c r="N220" i="17" s="1"/>
  <c r="K189" i="18"/>
  <c r="K199" i="18"/>
  <c r="N222" i="18"/>
  <c r="N220" i="18" s="1"/>
  <c r="N312" i="18"/>
  <c r="N310" i="18" s="1"/>
  <c r="K631" i="18"/>
  <c r="K533" i="5"/>
  <c r="N120" i="7"/>
  <c r="N118" i="7" s="1"/>
  <c r="K328" i="8"/>
  <c r="N31" i="8"/>
  <c r="N29" i="8" s="1"/>
  <c r="K341" i="11"/>
  <c r="O383" i="11"/>
  <c r="K481" i="12"/>
  <c r="O566" i="14"/>
  <c r="K138" i="15"/>
  <c r="M292" i="15"/>
  <c r="P292" i="15" s="1"/>
  <c r="L314" i="16"/>
  <c r="O314" i="16" s="1"/>
  <c r="O347" i="16"/>
  <c r="K350" i="16"/>
  <c r="L314" i="18"/>
  <c r="O314" i="18" s="1"/>
  <c r="K396" i="5"/>
  <c r="O582" i="5"/>
  <c r="K85" i="6"/>
  <c r="O102" i="6"/>
  <c r="K108" i="6"/>
  <c r="K401" i="6"/>
  <c r="L70" i="7"/>
  <c r="L68" i="7" s="1"/>
  <c r="L122" i="7"/>
  <c r="L120" i="7" s="1"/>
  <c r="O120" i="7" s="1"/>
  <c r="L314" i="7"/>
  <c r="O314" i="7" s="1"/>
  <c r="K341" i="7"/>
  <c r="O347" i="7"/>
  <c r="O380" i="7"/>
  <c r="L294" i="8"/>
  <c r="O294" i="8" s="1"/>
  <c r="K345" i="8"/>
  <c r="K349" i="8"/>
  <c r="K396" i="8"/>
  <c r="K402" i="8"/>
  <c r="K628" i="8"/>
  <c r="K634" i="8"/>
  <c r="L122" i="9"/>
  <c r="L120" i="9" s="1"/>
  <c r="K420" i="9"/>
  <c r="K426" i="9"/>
  <c r="K564" i="9"/>
  <c r="K629" i="9"/>
  <c r="K632" i="9"/>
  <c r="K635" i="9"/>
  <c r="P57" i="10"/>
  <c r="K64" i="10"/>
  <c r="N142" i="10"/>
  <c r="N140" i="10" s="1"/>
  <c r="O439" i="10"/>
  <c r="K450" i="10"/>
  <c r="N273" i="11"/>
  <c r="N271" i="11" s="1"/>
  <c r="K375" i="11"/>
  <c r="K402" i="11"/>
  <c r="K427" i="11"/>
  <c r="K430" i="11"/>
  <c r="K593" i="11"/>
  <c r="K376" i="12"/>
  <c r="O564" i="12"/>
  <c r="K229" i="13"/>
  <c r="N292" i="13"/>
  <c r="N290" i="13" s="1"/>
  <c r="K328" i="13"/>
  <c r="K341" i="13"/>
  <c r="O455" i="13"/>
  <c r="K481" i="13"/>
  <c r="O601" i="13"/>
  <c r="N142" i="15"/>
  <c r="N140" i="15" s="1"/>
  <c r="K199" i="15"/>
  <c r="L45" i="16"/>
  <c r="L43" i="16" s="1"/>
  <c r="L41" i="16" s="1"/>
  <c r="K421" i="16"/>
  <c r="K450" i="16"/>
  <c r="L224" i="17"/>
  <c r="L222" i="17" s="1"/>
  <c r="N273" i="17"/>
  <c r="N271" i="17" s="1"/>
  <c r="K396" i="17"/>
  <c r="K634" i="5"/>
  <c r="K219" i="6"/>
  <c r="K368" i="6"/>
  <c r="K418" i="6"/>
  <c r="K421" i="6"/>
  <c r="K424" i="6"/>
  <c r="K427" i="6"/>
  <c r="K430" i="6"/>
  <c r="O439" i="6"/>
  <c r="K450" i="6"/>
  <c r="K499" i="6"/>
  <c r="K575" i="6"/>
  <c r="K597" i="6"/>
  <c r="O599" i="6"/>
  <c r="K422" i="7"/>
  <c r="K628" i="7"/>
  <c r="K631" i="7"/>
  <c r="K634" i="7"/>
  <c r="L98" i="8"/>
  <c r="L96" i="8" s="1"/>
  <c r="K132" i="8"/>
  <c r="K138" i="8"/>
  <c r="K215" i="8"/>
  <c r="K219" i="8"/>
  <c r="L70" i="9"/>
  <c r="O70" i="9" s="1"/>
  <c r="K432" i="9"/>
  <c r="O435" i="9"/>
  <c r="K449" i="9"/>
  <c r="O455" i="9"/>
  <c r="K466" i="9"/>
  <c r="K270" i="10"/>
  <c r="K285" i="10"/>
  <c r="K563" i="10"/>
  <c r="K219" i="11"/>
  <c r="K266" i="11"/>
  <c r="K422" i="11"/>
  <c r="O459" i="11"/>
  <c r="K464" i="11"/>
  <c r="K591" i="11"/>
  <c r="K158" i="12"/>
  <c r="L224" i="12"/>
  <c r="O224" i="12" s="1"/>
  <c r="P275" i="12"/>
  <c r="N312" i="12"/>
  <c r="N310" i="12" s="1"/>
  <c r="K497" i="12"/>
  <c r="K372" i="13"/>
  <c r="K375" i="13"/>
  <c r="K402" i="13"/>
  <c r="K473" i="13"/>
  <c r="K173" i="14"/>
  <c r="K200" i="14"/>
  <c r="K420" i="14"/>
  <c r="K426" i="14"/>
  <c r="O435" i="14"/>
  <c r="O537" i="14"/>
  <c r="K81" i="15"/>
  <c r="K133" i="15"/>
  <c r="L224" i="15"/>
  <c r="O224" i="15" s="1"/>
  <c r="O383" i="15"/>
  <c r="K173" i="16"/>
  <c r="K370" i="16"/>
  <c r="K380" i="16"/>
  <c r="K425" i="16"/>
  <c r="O457" i="16"/>
  <c r="K265" i="17"/>
  <c r="K376" i="17"/>
  <c r="K380" i="17"/>
  <c r="O435" i="17"/>
  <c r="O455" i="17"/>
  <c r="L122" i="18"/>
  <c r="O122" i="18" s="1"/>
  <c r="K324" i="18"/>
  <c r="K345" i="18"/>
  <c r="K349" i="18"/>
  <c r="O533" i="18"/>
  <c r="K564" i="18"/>
  <c r="O566" i="18"/>
  <c r="I493" i="1"/>
  <c r="K493" i="1" s="1"/>
  <c r="O534" i="6"/>
  <c r="L534" i="1"/>
  <c r="O534" i="1" s="1"/>
  <c r="O584" i="6"/>
  <c r="L584" i="1"/>
  <c r="K589" i="6"/>
  <c r="I589" i="1"/>
  <c r="K511" i="8"/>
  <c r="I511" i="1"/>
  <c r="K511" i="1" s="1"/>
  <c r="N597" i="1"/>
  <c r="J614" i="1"/>
  <c r="J617" i="1"/>
  <c r="J620" i="1"/>
  <c r="J626" i="1"/>
  <c r="J633" i="1"/>
  <c r="J65" i="1"/>
  <c r="P314" i="11"/>
  <c r="M312" i="11"/>
  <c r="N604" i="1"/>
  <c r="I614" i="1"/>
  <c r="I617" i="1"/>
  <c r="I623" i="1"/>
  <c r="L298" i="1"/>
  <c r="O298" i="1" s="1"/>
  <c r="J610" i="1"/>
  <c r="J509" i="1"/>
  <c r="I324" i="1"/>
  <c r="L405" i="1"/>
  <c r="O405" i="1" s="1"/>
  <c r="I495" i="1"/>
  <c r="K495" i="1" s="1"/>
  <c r="O564" i="3"/>
  <c r="O567" i="3"/>
  <c r="L567" i="1"/>
  <c r="O567" i="1" s="1"/>
  <c r="L33" i="3"/>
  <c r="O33" i="3" s="1"/>
  <c r="K512" i="6"/>
  <c r="I512" i="1"/>
  <c r="K512" i="1" s="1"/>
  <c r="I490" i="1"/>
  <c r="K490" i="1" s="1"/>
  <c r="K561" i="2"/>
  <c r="K561" i="1" s="1"/>
  <c r="I561" i="1"/>
  <c r="K578" i="2"/>
  <c r="I578" i="1"/>
  <c r="K578" i="1" s="1"/>
  <c r="K594" i="2"/>
  <c r="I594" i="1"/>
  <c r="K594" i="1" s="1"/>
  <c r="I622" i="1"/>
  <c r="I629" i="1"/>
  <c r="I632" i="1"/>
  <c r="I635" i="1"/>
  <c r="K515" i="3"/>
  <c r="I515" i="1"/>
  <c r="K515" i="1" s="1"/>
  <c r="I521" i="1"/>
  <c r="I524" i="1"/>
  <c r="I530" i="1"/>
  <c r="N554" i="1"/>
  <c r="N564" i="1"/>
  <c r="K430" i="4"/>
  <c r="N605" i="1"/>
  <c r="J611" i="1"/>
  <c r="P254" i="13"/>
  <c r="M252" i="13"/>
  <c r="P252" i="13" s="1"/>
  <c r="P254" i="5"/>
  <c r="M252" i="5"/>
  <c r="P252" i="5" s="1"/>
  <c r="N252" i="6"/>
  <c r="N250" i="6" s="1"/>
  <c r="J111" i="1"/>
  <c r="K132" i="2"/>
  <c r="N142" i="2"/>
  <c r="N140" i="2" s="1"/>
  <c r="J156" i="1"/>
  <c r="I219" i="1"/>
  <c r="K235" i="2"/>
  <c r="J262" i="1"/>
  <c r="N273" i="2"/>
  <c r="N271" i="2" s="1"/>
  <c r="L294" i="2"/>
  <c r="O294" i="2" s="1"/>
  <c r="L314" i="2"/>
  <c r="O314" i="2" s="1"/>
  <c r="L349" i="1"/>
  <c r="O533" i="2"/>
  <c r="K613" i="2"/>
  <c r="K619" i="2"/>
  <c r="K632" i="2"/>
  <c r="K149" i="3"/>
  <c r="K158" i="3"/>
  <c r="L224" i="3"/>
  <c r="L222" i="3" s="1"/>
  <c r="L294" i="3"/>
  <c r="O294" i="3" s="1"/>
  <c r="O347" i="3"/>
  <c r="O404" i="3"/>
  <c r="K420" i="3"/>
  <c r="K455" i="3"/>
  <c r="K343" i="4"/>
  <c r="O555" i="4"/>
  <c r="K620" i="4"/>
  <c r="K626" i="4"/>
  <c r="L98" i="5"/>
  <c r="O98" i="5" s="1"/>
  <c r="K110" i="5"/>
  <c r="K149" i="5"/>
  <c r="K173" i="5"/>
  <c r="M331" i="5"/>
  <c r="M329" i="5" s="1"/>
  <c r="K340" i="5"/>
  <c r="K432" i="5"/>
  <c r="O435" i="5"/>
  <c r="O455" i="5"/>
  <c r="N142" i="6"/>
  <c r="N140" i="6" s="1"/>
  <c r="K343" i="6"/>
  <c r="O349" i="6"/>
  <c r="O564" i="6"/>
  <c r="L45" i="7"/>
  <c r="L43" i="7" s="1"/>
  <c r="L41" i="7" s="1"/>
  <c r="K189" i="7"/>
  <c r="K199" i="7"/>
  <c r="K216" i="7"/>
  <c r="L254" i="7"/>
  <c r="K285" i="7"/>
  <c r="N292" i="7"/>
  <c r="N290" i="7" s="1"/>
  <c r="O385" i="7"/>
  <c r="J513" i="1"/>
  <c r="J579" i="1"/>
  <c r="N34" i="11"/>
  <c r="N14" i="11" s="1"/>
  <c r="J592" i="1"/>
  <c r="M252" i="14"/>
  <c r="P254" i="14"/>
  <c r="K423" i="16"/>
  <c r="J512" i="1"/>
  <c r="N96" i="2"/>
  <c r="N94" i="2" s="1"/>
  <c r="J105" i="1"/>
  <c r="J109" i="1"/>
  <c r="I112" i="1"/>
  <c r="I117" i="1"/>
  <c r="N126" i="1"/>
  <c r="J132" i="1"/>
  <c r="J138" i="1"/>
  <c r="J215" i="1"/>
  <c r="J219" i="1"/>
  <c r="N222" i="2"/>
  <c r="N220" i="2" s="1"/>
  <c r="J235" i="1"/>
  <c r="P275" i="2"/>
  <c r="O406" i="2"/>
  <c r="N441" i="1"/>
  <c r="J448" i="1"/>
  <c r="N558" i="1"/>
  <c r="K267" i="3"/>
  <c r="K466" i="3"/>
  <c r="K563" i="3"/>
  <c r="K266" i="4"/>
  <c r="K270" i="4"/>
  <c r="O437" i="4"/>
  <c r="N68" i="5"/>
  <c r="N66" i="5" s="1"/>
  <c r="N120" i="5"/>
  <c r="L224" i="5"/>
  <c r="O224" i="5" s="1"/>
  <c r="K341" i="5"/>
  <c r="O347" i="5"/>
  <c r="N455" i="1"/>
  <c r="N458" i="1"/>
  <c r="N463" i="1"/>
  <c r="J131" i="1"/>
  <c r="N386" i="1"/>
  <c r="J128" i="1"/>
  <c r="K133" i="2"/>
  <c r="O347" i="2"/>
  <c r="O537" i="2"/>
  <c r="J544" i="1"/>
  <c r="J548" i="1"/>
  <c r="K611" i="2"/>
  <c r="K617" i="2"/>
  <c r="K630" i="2"/>
  <c r="K375" i="3"/>
  <c r="K421" i="3"/>
  <c r="N461" i="1"/>
  <c r="J465" i="1"/>
  <c r="J468" i="1"/>
  <c r="J516" i="1"/>
  <c r="J519" i="1"/>
  <c r="J522" i="1"/>
  <c r="J525" i="1"/>
  <c r="J528" i="1"/>
  <c r="J531" i="1"/>
  <c r="N533" i="1"/>
  <c r="J631" i="1"/>
  <c r="J87" i="1"/>
  <c r="J92" i="1"/>
  <c r="J174" i="1"/>
  <c r="J204" i="1"/>
  <c r="J213" i="1"/>
  <c r="J218" i="1"/>
  <c r="J309" i="1"/>
  <c r="N358" i="1"/>
  <c r="I450" i="1"/>
  <c r="N588" i="1"/>
  <c r="K229" i="6"/>
  <c r="K235" i="6"/>
  <c r="O568" i="6"/>
  <c r="P144" i="7"/>
  <c r="K418" i="7"/>
  <c r="K430" i="7"/>
  <c r="I423" i="1"/>
  <c r="J471" i="1"/>
  <c r="N148" i="1"/>
  <c r="J157" i="1"/>
  <c r="J171" i="1"/>
  <c r="I189" i="1"/>
  <c r="J88" i="1"/>
  <c r="L100" i="1"/>
  <c r="I204" i="1"/>
  <c r="J237" i="1"/>
  <c r="J243" i="1"/>
  <c r="J267" i="1"/>
  <c r="N318" i="1"/>
  <c r="N333" i="1"/>
  <c r="J339" i="1"/>
  <c r="N585" i="1"/>
  <c r="M57" i="1"/>
  <c r="P96" i="3"/>
  <c r="L102" i="1"/>
  <c r="I108" i="1"/>
  <c r="I111" i="1"/>
  <c r="K201" i="3"/>
  <c r="K219" i="3"/>
  <c r="I340" i="1"/>
  <c r="J453" i="1"/>
  <c r="J464" i="1"/>
  <c r="J475" i="1"/>
  <c r="J551" i="1"/>
  <c r="N553" i="1"/>
  <c r="J561" i="1"/>
  <c r="J564" i="1"/>
  <c r="O566" i="3"/>
  <c r="N569" i="1"/>
  <c r="K580" i="3"/>
  <c r="K65" i="4"/>
  <c r="K199" i="4"/>
  <c r="N222" i="4"/>
  <c r="N220" i="4" s="1"/>
  <c r="I267" i="1"/>
  <c r="L314" i="4"/>
  <c r="O314" i="4" s="1"/>
  <c r="O337" i="4"/>
  <c r="K350" i="4"/>
  <c r="K474" i="4"/>
  <c r="N583" i="1"/>
  <c r="I625" i="1"/>
  <c r="N55" i="5"/>
  <c r="N53" i="5" s="1"/>
  <c r="O102" i="5"/>
  <c r="K108" i="5"/>
  <c r="N331" i="5"/>
  <c r="N329" i="5" s="1"/>
  <c r="K109" i="6"/>
  <c r="N292" i="6"/>
  <c r="N290" i="6" s="1"/>
  <c r="N331" i="6"/>
  <c r="N329" i="6" s="1"/>
  <c r="O404" i="6"/>
  <c r="L335" i="1"/>
  <c r="L32" i="13"/>
  <c r="L30" i="13" s="1"/>
  <c r="J469" i="1"/>
  <c r="L34" i="14"/>
  <c r="J402" i="1"/>
  <c r="N405" i="1"/>
  <c r="N410" i="1"/>
  <c r="J479" i="1"/>
  <c r="L58" i="1"/>
  <c r="I86" i="1"/>
  <c r="J173" i="1"/>
  <c r="J186" i="1"/>
  <c r="I238" i="1"/>
  <c r="K238" i="1" s="1"/>
  <c r="J260" i="1"/>
  <c r="J289" i="1"/>
  <c r="K563" i="2"/>
  <c r="K573" i="2"/>
  <c r="K615" i="2"/>
  <c r="K229" i="3"/>
  <c r="K235" i="3"/>
  <c r="K397" i="3"/>
  <c r="K401" i="3"/>
  <c r="K498" i="3"/>
  <c r="O537" i="3"/>
  <c r="K618" i="3"/>
  <c r="L45" i="4"/>
  <c r="O45" i="4" s="1"/>
  <c r="K158" i="4"/>
  <c r="N252" i="4"/>
  <c r="N250" i="4" s="1"/>
  <c r="K345" i="4"/>
  <c r="K424" i="4"/>
  <c r="K466" i="4"/>
  <c r="O537" i="4"/>
  <c r="O551" i="4"/>
  <c r="O564" i="4"/>
  <c r="P275" i="5"/>
  <c r="K422" i="5"/>
  <c r="K428" i="5"/>
  <c r="O584" i="5"/>
  <c r="L98" i="6"/>
  <c r="O98" i="6" s="1"/>
  <c r="K110" i="6"/>
  <c r="K345" i="6"/>
  <c r="K547" i="6"/>
  <c r="K564" i="6"/>
  <c r="O566" i="6"/>
  <c r="L144" i="7"/>
  <c r="L142" i="7" s="1"/>
  <c r="L140" i="7" s="1"/>
  <c r="K215" i="7"/>
  <c r="K219" i="7"/>
  <c r="L275" i="7"/>
  <c r="L273" i="7" s="1"/>
  <c r="K419" i="7"/>
  <c r="K431" i="7"/>
  <c r="J596" i="1"/>
  <c r="N598" i="1"/>
  <c r="N601" i="1"/>
  <c r="J608" i="1"/>
  <c r="J612" i="1"/>
  <c r="J618" i="1"/>
  <c r="J345" i="1"/>
  <c r="O382" i="11"/>
  <c r="L31" i="11"/>
  <c r="J485" i="1"/>
  <c r="N70" i="1"/>
  <c r="K435" i="7"/>
  <c r="K593" i="7"/>
  <c r="K113" i="8"/>
  <c r="N34" i="8"/>
  <c r="N14" i="8" s="1"/>
  <c r="K375" i="8"/>
  <c r="P224" i="9"/>
  <c r="K235" i="9"/>
  <c r="O537" i="10"/>
  <c r="O551" i="10"/>
  <c r="L45" i="11"/>
  <c r="L43" i="11" s="1"/>
  <c r="L32" i="11"/>
  <c r="L122" i="12"/>
  <c r="L120" i="12" s="1"/>
  <c r="K424" i="13"/>
  <c r="O597" i="13"/>
  <c r="N252" i="14"/>
  <c r="N250" i="14" s="1"/>
  <c r="K380" i="14"/>
  <c r="O385" i="14"/>
  <c r="K417" i="14"/>
  <c r="K428" i="14"/>
  <c r="O457" i="14"/>
  <c r="O553" i="14"/>
  <c r="O601" i="14"/>
  <c r="K631" i="14"/>
  <c r="K65" i="15"/>
  <c r="L254" i="15"/>
  <c r="L252" i="15" s="1"/>
  <c r="O252" i="15" s="1"/>
  <c r="O435" i="15"/>
  <c r="O537" i="15"/>
  <c r="K635" i="15"/>
  <c r="K219" i="16"/>
  <c r="L254" i="16"/>
  <c r="O254" i="16" s="1"/>
  <c r="P333" i="16"/>
  <c r="K375" i="16"/>
  <c r="K418" i="16"/>
  <c r="K432" i="16"/>
  <c r="O435" i="16"/>
  <c r="N96" i="17"/>
  <c r="P96" i="17" s="1"/>
  <c r="K112" i="17"/>
  <c r="K117" i="17"/>
  <c r="N120" i="17"/>
  <c r="N118" i="17" s="1"/>
  <c r="K264" i="17"/>
  <c r="K267" i="17"/>
  <c r="N312" i="17"/>
  <c r="N310" i="17" s="1"/>
  <c r="K401" i="17"/>
  <c r="O406" i="17"/>
  <c r="K449" i="17"/>
  <c r="K466" i="17"/>
  <c r="K481" i="17"/>
  <c r="K499" i="17"/>
  <c r="K631" i="17"/>
  <c r="K65" i="18"/>
  <c r="K266" i="18"/>
  <c r="N331" i="18"/>
  <c r="P331" i="18" s="1"/>
  <c r="K425" i="18"/>
  <c r="K430" i="18"/>
  <c r="K589" i="18"/>
  <c r="K595" i="18"/>
  <c r="K158" i="8"/>
  <c r="L314" i="8"/>
  <c r="L312" i="8" s="1"/>
  <c r="K376" i="8"/>
  <c r="K380" i="8"/>
  <c r="O385" i="8"/>
  <c r="O406" i="8"/>
  <c r="K455" i="8"/>
  <c r="K629" i="8"/>
  <c r="K635" i="8"/>
  <c r="N55" i="9"/>
  <c r="P55" i="9" s="1"/>
  <c r="L224" i="9"/>
  <c r="O224" i="9" s="1"/>
  <c r="L275" i="9"/>
  <c r="O275" i="9" s="1"/>
  <c r="L314" i="9"/>
  <c r="O314" i="9" s="1"/>
  <c r="K424" i="9"/>
  <c r="K427" i="9"/>
  <c r="O580" i="9"/>
  <c r="L122" i="10"/>
  <c r="K473" i="10"/>
  <c r="K482" i="10"/>
  <c r="K64" i="11"/>
  <c r="K270" i="11"/>
  <c r="L314" i="11"/>
  <c r="L312" i="11" s="1"/>
  <c r="N96" i="13"/>
  <c r="N94" i="13" s="1"/>
  <c r="K235" i="13"/>
  <c r="L254" i="13"/>
  <c r="O254" i="13" s="1"/>
  <c r="O459" i="13"/>
  <c r="K149" i="14"/>
  <c r="N312" i="14"/>
  <c r="N310" i="14" s="1"/>
  <c r="N120" i="16"/>
  <c r="N118" i="16" s="1"/>
  <c r="O383" i="17"/>
  <c r="K83" i="8"/>
  <c r="K615" i="8"/>
  <c r="K625" i="8"/>
  <c r="N43" i="9"/>
  <c r="N41" i="9" s="1"/>
  <c r="L32" i="10"/>
  <c r="L30" i="10" s="1"/>
  <c r="K398" i="10"/>
  <c r="O401" i="10"/>
  <c r="O457" i="10"/>
  <c r="K435" i="11"/>
  <c r="K473" i="11"/>
  <c r="K219" i="12"/>
  <c r="K435" i="12"/>
  <c r="K465" i="12"/>
  <c r="K473" i="12"/>
  <c r="K628" i="12"/>
  <c r="K270" i="13"/>
  <c r="O349" i="13"/>
  <c r="K370" i="13"/>
  <c r="K428" i="13"/>
  <c r="K580" i="13"/>
  <c r="K229" i="14"/>
  <c r="L254" i="14"/>
  <c r="L314" i="14"/>
  <c r="O314" i="14" s="1"/>
  <c r="L45" i="15"/>
  <c r="O45" i="15" s="1"/>
  <c r="K345" i="15"/>
  <c r="K349" i="15"/>
  <c r="O354" i="15"/>
  <c r="K372" i="15"/>
  <c r="K421" i="15"/>
  <c r="O535" i="15"/>
  <c r="K611" i="15"/>
  <c r="K614" i="15"/>
  <c r="L98" i="16"/>
  <c r="N273" i="16"/>
  <c r="K402" i="16"/>
  <c r="K419" i="16"/>
  <c r="K430" i="16"/>
  <c r="K466" i="16"/>
  <c r="N34" i="17"/>
  <c r="N14" i="17" s="1"/>
  <c r="K431" i="18"/>
  <c r="N68" i="8"/>
  <c r="N66" i="8" s="1"/>
  <c r="K109" i="8"/>
  <c r="L122" i="8"/>
  <c r="L120" i="8" s="1"/>
  <c r="K199" i="8"/>
  <c r="L224" i="8"/>
  <c r="K398" i="8"/>
  <c r="K573" i="8"/>
  <c r="N68" i="9"/>
  <c r="N66" i="9" s="1"/>
  <c r="K199" i="9"/>
  <c r="K419" i="9"/>
  <c r="O459" i="9"/>
  <c r="K473" i="9"/>
  <c r="O599" i="9"/>
  <c r="P144" i="10"/>
  <c r="K149" i="10"/>
  <c r="L98" i="11"/>
  <c r="L96" i="11" s="1"/>
  <c r="P144" i="11"/>
  <c r="O566" i="11"/>
  <c r="K132" i="12"/>
  <c r="N142" i="12"/>
  <c r="P142" i="12" s="1"/>
  <c r="K498" i="12"/>
  <c r="O337" i="13"/>
  <c r="L34" i="13"/>
  <c r="K497" i="13"/>
  <c r="K631" i="13"/>
  <c r="N292" i="14"/>
  <c r="N290" i="14" s="1"/>
  <c r="L144" i="15"/>
  <c r="O144" i="15" s="1"/>
  <c r="N252" i="15"/>
  <c r="N250" i="15" s="1"/>
  <c r="L224" i="16"/>
  <c r="N292" i="17"/>
  <c r="N290" i="17" s="1"/>
  <c r="K372" i="17"/>
  <c r="K418" i="17"/>
  <c r="K421" i="17"/>
  <c r="K424" i="17"/>
  <c r="K427" i="17"/>
  <c r="K430" i="17"/>
  <c r="K597" i="17"/>
  <c r="P144" i="18"/>
  <c r="K249" i="18"/>
  <c r="L333" i="18"/>
  <c r="O333" i="18" s="1"/>
  <c r="K340" i="18"/>
  <c r="K343" i="18"/>
  <c r="O349" i="18"/>
  <c r="O352" i="18"/>
  <c r="K417" i="18"/>
  <c r="K426" i="18"/>
  <c r="O601" i="18"/>
  <c r="K450" i="7"/>
  <c r="L57" i="8"/>
  <c r="O57" i="8" s="1"/>
  <c r="L24" i="8"/>
  <c r="O24" i="8" s="1"/>
  <c r="K200" i="8"/>
  <c r="K204" i="8"/>
  <c r="P254" i="8"/>
  <c r="K418" i="8"/>
  <c r="K547" i="8"/>
  <c r="K564" i="8"/>
  <c r="O582" i="8"/>
  <c r="K593" i="8"/>
  <c r="L98" i="9"/>
  <c r="L254" i="9"/>
  <c r="O254" i="9" s="1"/>
  <c r="K340" i="9"/>
  <c r="K370" i="9"/>
  <c r="K431" i="9"/>
  <c r="K474" i="9"/>
  <c r="K482" i="9"/>
  <c r="L254" i="10"/>
  <c r="O254" i="10" s="1"/>
  <c r="K396" i="10"/>
  <c r="N252" i="11"/>
  <c r="N250" i="11" s="1"/>
  <c r="N292" i="11"/>
  <c r="N290" i="11" s="1"/>
  <c r="O354" i="11"/>
  <c r="K381" i="11"/>
  <c r="O564" i="11"/>
  <c r="K597" i="11"/>
  <c r="M273" i="12"/>
  <c r="K466" i="12"/>
  <c r="K474" i="12"/>
  <c r="K482" i="12"/>
  <c r="P144" i="13"/>
  <c r="K149" i="13"/>
  <c r="K200" i="13"/>
  <c r="O347" i="13"/>
  <c r="K350" i="13"/>
  <c r="O380" i="13"/>
  <c r="K432" i="13"/>
  <c r="K466" i="13"/>
  <c r="K562" i="13"/>
  <c r="N26" i="14"/>
  <c r="N16" i="14" s="1"/>
  <c r="L224" i="14"/>
  <c r="L222" i="14" s="1"/>
  <c r="K381" i="14"/>
  <c r="K424" i="14"/>
  <c r="O582" i="14"/>
  <c r="K593" i="14"/>
  <c r="K64" i="15"/>
  <c r="N96" i="15"/>
  <c r="N94" i="15" s="1"/>
  <c r="L333" i="15"/>
  <c r="L331" i="15" s="1"/>
  <c r="K396" i="15"/>
  <c r="K419" i="15"/>
  <c r="K425" i="15"/>
  <c r="L122" i="16"/>
  <c r="L120" i="16" s="1"/>
  <c r="L144" i="16"/>
  <c r="O144" i="16" s="1"/>
  <c r="M292" i="16"/>
  <c r="M290" i="16" s="1"/>
  <c r="P290" i="16" s="1"/>
  <c r="K420" i="16"/>
  <c r="K431" i="16"/>
  <c r="P224" i="17"/>
  <c r="K229" i="17"/>
  <c r="K266" i="17"/>
  <c r="K560" i="17"/>
  <c r="K563" i="17"/>
  <c r="O568" i="17"/>
  <c r="K573" i="17"/>
  <c r="K630" i="17"/>
  <c r="K633" i="17"/>
  <c r="K64" i="18"/>
  <c r="K108" i="18"/>
  <c r="K111" i="18"/>
  <c r="O580" i="18"/>
  <c r="K591" i="18"/>
  <c r="K597" i="18"/>
  <c r="I185" i="1"/>
  <c r="L296" i="1"/>
  <c r="I373" i="1"/>
  <c r="K373" i="1" s="1"/>
  <c r="I377" i="1"/>
  <c r="I435" i="1"/>
  <c r="I560" i="1"/>
  <c r="J634" i="1"/>
  <c r="N68" i="2"/>
  <c r="N66" i="2" s="1"/>
  <c r="P122" i="2"/>
  <c r="J183" i="1"/>
  <c r="L224" i="2"/>
  <c r="P254" i="2"/>
  <c r="J268" i="1"/>
  <c r="J507" i="1"/>
  <c r="K418" i="4"/>
  <c r="J79" i="1"/>
  <c r="P314" i="9"/>
  <c r="M22" i="9"/>
  <c r="M20" i="9" s="1"/>
  <c r="M312" i="9"/>
  <c r="P312" i="9" s="1"/>
  <c r="I81" i="1"/>
  <c r="I92" i="1"/>
  <c r="L226" i="1"/>
  <c r="I244" i="1"/>
  <c r="K244" i="1" s="1"/>
  <c r="L435" i="1"/>
  <c r="I470" i="1"/>
  <c r="K470" i="1" s="1"/>
  <c r="I501" i="1"/>
  <c r="K501" i="1" s="1"/>
  <c r="J591" i="1"/>
  <c r="N599" i="1"/>
  <c r="L24" i="2"/>
  <c r="J76" i="1"/>
  <c r="N120" i="2"/>
  <c r="N118" i="2" s="1"/>
  <c r="N292" i="2"/>
  <c r="N290" i="2" s="1"/>
  <c r="J320" i="1"/>
  <c r="J325" i="1"/>
  <c r="N351" i="1"/>
  <c r="K616" i="4"/>
  <c r="P314" i="10"/>
  <c r="M312" i="10"/>
  <c r="I132" i="1"/>
  <c r="N45" i="1"/>
  <c r="I85" i="1"/>
  <c r="N254" i="1"/>
  <c r="I380" i="1"/>
  <c r="I575" i="1"/>
  <c r="L26" i="2"/>
  <c r="O26" i="2" s="1"/>
  <c r="L57" i="2"/>
  <c r="I84" i="1"/>
  <c r="L254" i="2"/>
  <c r="O254" i="2" s="1"/>
  <c r="K622" i="4"/>
  <c r="P70" i="13"/>
  <c r="M68" i="13"/>
  <c r="P68" i="13" s="1"/>
  <c r="L74" i="1"/>
  <c r="I93" i="1"/>
  <c r="I176" i="1"/>
  <c r="I199" i="1"/>
  <c r="I467" i="1"/>
  <c r="K467" i="1" s="1"/>
  <c r="I471" i="1"/>
  <c r="K471" i="1" s="1"/>
  <c r="I620" i="1"/>
  <c r="L70" i="2"/>
  <c r="J114" i="1"/>
  <c r="J163" i="1"/>
  <c r="K189" i="2"/>
  <c r="N539" i="1"/>
  <c r="J546" i="1"/>
  <c r="J550" i="1"/>
  <c r="J200" i="1"/>
  <c r="I216" i="1"/>
  <c r="J229" i="1"/>
  <c r="N347" i="1"/>
  <c r="I376" i="1"/>
  <c r="L437" i="1"/>
  <c r="I468" i="1"/>
  <c r="K468" i="1" s="1"/>
  <c r="I499" i="1"/>
  <c r="N57" i="1"/>
  <c r="K164" i="2"/>
  <c r="K173" i="2"/>
  <c r="J211" i="1"/>
  <c r="J162" i="1"/>
  <c r="P275" i="4"/>
  <c r="M273" i="4"/>
  <c r="M271" i="4" s="1"/>
  <c r="K92" i="5"/>
  <c r="J369" i="1"/>
  <c r="K423" i="2"/>
  <c r="J426" i="1"/>
  <c r="K429" i="2"/>
  <c r="K449" i="2"/>
  <c r="O455" i="2"/>
  <c r="N457" i="1"/>
  <c r="N460" i="1"/>
  <c r="K465" i="2"/>
  <c r="J510" i="1"/>
  <c r="O535" i="2"/>
  <c r="N55" i="3"/>
  <c r="N53" i="3" s="1"/>
  <c r="O102" i="3"/>
  <c r="K173" i="3"/>
  <c r="K200" i="3"/>
  <c r="K249" i="3"/>
  <c r="N312" i="3"/>
  <c r="N310" i="3" s="1"/>
  <c r="K343" i="3"/>
  <c r="O352" i="3"/>
  <c r="K381" i="3"/>
  <c r="K396" i="3"/>
  <c r="K418" i="3"/>
  <c r="K423" i="3"/>
  <c r="K426" i="3"/>
  <c r="K432" i="3"/>
  <c r="O435" i="3"/>
  <c r="K473" i="3"/>
  <c r="K481" i="3"/>
  <c r="K499" i="3"/>
  <c r="O601" i="3"/>
  <c r="K617" i="3"/>
  <c r="I626" i="1"/>
  <c r="I630" i="1"/>
  <c r="K633" i="3"/>
  <c r="K64" i="4"/>
  <c r="N96" i="4"/>
  <c r="P96" i="4" s="1"/>
  <c r="K111" i="4"/>
  <c r="L124" i="1"/>
  <c r="K219" i="4"/>
  <c r="N273" i="4"/>
  <c r="N271" i="4" s="1"/>
  <c r="O349" i="4"/>
  <c r="K396" i="4"/>
  <c r="K427" i="4"/>
  <c r="K551" i="4"/>
  <c r="K560" i="4"/>
  <c r="L294" i="5"/>
  <c r="O380" i="5"/>
  <c r="O401" i="5"/>
  <c r="K450" i="5"/>
  <c r="K474" i="5"/>
  <c r="O533" i="5"/>
  <c r="O566" i="5"/>
  <c r="K591" i="5"/>
  <c r="O601" i="5"/>
  <c r="K630" i="5"/>
  <c r="L46" i="1"/>
  <c r="L24" i="9"/>
  <c r="O24" i="9" s="1"/>
  <c r="O601" i="9"/>
  <c r="L275" i="2"/>
  <c r="O275" i="2" s="1"/>
  <c r="K328" i="2"/>
  <c r="O383" i="2"/>
  <c r="N387" i="1"/>
  <c r="J394" i="1"/>
  <c r="J398" i="1"/>
  <c r="N401" i="1"/>
  <c r="J616" i="1"/>
  <c r="J622" i="1"/>
  <c r="J635" i="1"/>
  <c r="K83" i="3"/>
  <c r="K109" i="3"/>
  <c r="K112" i="3"/>
  <c r="K270" i="3"/>
  <c r="L277" i="1"/>
  <c r="N331" i="3"/>
  <c r="P331" i="3" s="1"/>
  <c r="K341" i="3"/>
  <c r="K424" i="3"/>
  <c r="K497" i="3"/>
  <c r="O533" i="3"/>
  <c r="K591" i="3"/>
  <c r="L57" i="4"/>
  <c r="P224" i="4"/>
  <c r="J322" i="1"/>
  <c r="K589" i="4"/>
  <c r="P57" i="5"/>
  <c r="K133" i="5"/>
  <c r="K426" i="5"/>
  <c r="K481" i="5"/>
  <c r="K499" i="5"/>
  <c r="N354" i="1"/>
  <c r="J361" i="1"/>
  <c r="J381" i="1"/>
  <c r="N384" i="1"/>
  <c r="N389" i="1"/>
  <c r="J396" i="1"/>
  <c r="K398" i="11"/>
  <c r="J378" i="1"/>
  <c r="I381" i="1"/>
  <c r="O439" i="2"/>
  <c r="K450" i="2"/>
  <c r="J483" i="1"/>
  <c r="K497" i="2"/>
  <c r="O584" i="2"/>
  <c r="K589" i="2"/>
  <c r="L59" i="1"/>
  <c r="J187" i="1"/>
  <c r="J209" i="1"/>
  <c r="I374" i="1"/>
  <c r="I419" i="1"/>
  <c r="K430" i="3"/>
  <c r="N462" i="1"/>
  <c r="K474" i="3"/>
  <c r="J487" i="1"/>
  <c r="J500" i="1"/>
  <c r="J511" i="1"/>
  <c r="J594" i="1"/>
  <c r="O599" i="3"/>
  <c r="N602" i="1"/>
  <c r="J609" i="1"/>
  <c r="K612" i="3"/>
  <c r="N68" i="4"/>
  <c r="N66" i="4" s="1"/>
  <c r="N120" i="4"/>
  <c r="N118" i="4" s="1"/>
  <c r="J304" i="1"/>
  <c r="K615" i="4"/>
  <c r="N314" i="1"/>
  <c r="J372" i="1"/>
  <c r="I402" i="1"/>
  <c r="J454" i="1"/>
  <c r="N456" i="1"/>
  <c r="J580" i="1"/>
  <c r="K580" i="1" s="1"/>
  <c r="I595" i="1"/>
  <c r="N55" i="8"/>
  <c r="N53" i="8" s="1"/>
  <c r="P57" i="8"/>
  <c r="O353" i="8"/>
  <c r="L33" i="8"/>
  <c r="O33" i="8" s="1"/>
  <c r="J576" i="1"/>
  <c r="M314" i="1"/>
  <c r="P314" i="1" s="1"/>
  <c r="L334" i="1"/>
  <c r="J370" i="1"/>
  <c r="K416" i="2"/>
  <c r="K422" i="2"/>
  <c r="K428" i="2"/>
  <c r="I481" i="1"/>
  <c r="J543" i="1"/>
  <c r="O551" i="2"/>
  <c r="K564" i="2"/>
  <c r="O566" i="2"/>
  <c r="I425" i="1"/>
  <c r="J482" i="1"/>
  <c r="J506" i="1"/>
  <c r="I573" i="1"/>
  <c r="N584" i="1"/>
  <c r="J589" i="1"/>
  <c r="J621" i="1"/>
  <c r="J624" i="1"/>
  <c r="P70" i="4"/>
  <c r="K216" i="4"/>
  <c r="L224" i="4"/>
  <c r="O224" i="4" s="1"/>
  <c r="K401" i="4"/>
  <c r="O406" i="4"/>
  <c r="K428" i="4"/>
  <c r="O582" i="4"/>
  <c r="K633" i="4"/>
  <c r="P45" i="5"/>
  <c r="K189" i="5"/>
  <c r="N298" i="1"/>
  <c r="J367" i="1"/>
  <c r="J400" i="1"/>
  <c r="N438" i="1"/>
  <c r="N567" i="1"/>
  <c r="N571" i="1"/>
  <c r="J135" i="1"/>
  <c r="K369" i="11"/>
  <c r="I367" i="11"/>
  <c r="K367" i="11" s="1"/>
  <c r="J368" i="1"/>
  <c r="O459" i="2"/>
  <c r="K464" i="2"/>
  <c r="J478" i="1"/>
  <c r="N582" i="1"/>
  <c r="K593" i="2"/>
  <c r="O601" i="2"/>
  <c r="K631" i="2"/>
  <c r="L254" i="3"/>
  <c r="L252" i="3" s="1"/>
  <c r="P275" i="3"/>
  <c r="K328" i="3"/>
  <c r="O380" i="3"/>
  <c r="K435" i="3"/>
  <c r="O568" i="3"/>
  <c r="O582" i="3"/>
  <c r="O597" i="3"/>
  <c r="K629" i="3"/>
  <c r="K635" i="3"/>
  <c r="J175" i="1"/>
  <c r="K204" i="4"/>
  <c r="I213" i="1"/>
  <c r="K249" i="4"/>
  <c r="K264" i="4"/>
  <c r="J270" i="1"/>
  <c r="K324" i="4"/>
  <c r="L333" i="4"/>
  <c r="O333" i="4" s="1"/>
  <c r="L383" i="1"/>
  <c r="K398" i="4"/>
  <c r="O401" i="4"/>
  <c r="N407" i="1"/>
  <c r="J414" i="1"/>
  <c r="K426" i="4"/>
  <c r="K435" i="4"/>
  <c r="O457" i="4"/>
  <c r="K473" i="4"/>
  <c r="K481" i="4"/>
  <c r="J494" i="1"/>
  <c r="K497" i="4"/>
  <c r="O533" i="4"/>
  <c r="O580" i="4"/>
  <c r="N586" i="1"/>
  <c r="J590" i="1"/>
  <c r="I619" i="1"/>
  <c r="K628" i="4"/>
  <c r="K631" i="4"/>
  <c r="L70" i="5"/>
  <c r="K109" i="5"/>
  <c r="K112" i="5"/>
  <c r="K117" i="5"/>
  <c r="K229" i="5"/>
  <c r="K235" i="5"/>
  <c r="K397" i="5"/>
  <c r="K421" i="5"/>
  <c r="K427" i="5"/>
  <c r="K473" i="5"/>
  <c r="K563" i="5"/>
  <c r="K619" i="5"/>
  <c r="K616" i="5"/>
  <c r="K629" i="5"/>
  <c r="K635" i="5"/>
  <c r="J117" i="1"/>
  <c r="K265" i="8"/>
  <c r="P333" i="8"/>
  <c r="M331" i="8"/>
  <c r="K345" i="11"/>
  <c r="J199" i="1"/>
  <c r="J202" i="1"/>
  <c r="J210" i="1"/>
  <c r="J301" i="1"/>
  <c r="L333" i="6"/>
  <c r="O333" i="6" s="1"/>
  <c r="K380" i="6"/>
  <c r="K563" i="6"/>
  <c r="L294" i="7"/>
  <c r="O294" i="7" s="1"/>
  <c r="L333" i="7"/>
  <c r="O333" i="7" s="1"/>
  <c r="K368" i="7"/>
  <c r="K377" i="7"/>
  <c r="K425" i="7"/>
  <c r="K428" i="7"/>
  <c r="O601" i="7"/>
  <c r="K92" i="8"/>
  <c r="K110" i="8"/>
  <c r="M252" i="8"/>
  <c r="N33" i="8"/>
  <c r="N13" i="8" s="1"/>
  <c r="K421" i="8"/>
  <c r="K424" i="8"/>
  <c r="K427" i="8"/>
  <c r="K430" i="8"/>
  <c r="K466" i="8"/>
  <c r="K533" i="8"/>
  <c r="O564" i="8"/>
  <c r="O580" i="8"/>
  <c r="K632" i="8"/>
  <c r="L57" i="9"/>
  <c r="L55" i="9" s="1"/>
  <c r="N312" i="9"/>
  <c r="N310" i="9" s="1"/>
  <c r="K345" i="9"/>
  <c r="K372" i="9"/>
  <c r="K381" i="9"/>
  <c r="K398" i="9"/>
  <c r="O457" i="9"/>
  <c r="O533" i="9"/>
  <c r="K547" i="9"/>
  <c r="O566" i="9"/>
  <c r="N33" i="9"/>
  <c r="N13" i="9" s="1"/>
  <c r="K591" i="9"/>
  <c r="M68" i="10"/>
  <c r="M66" i="10" s="1"/>
  <c r="K80" i="10"/>
  <c r="M222" i="10"/>
  <c r="P222" i="10" s="1"/>
  <c r="L333" i="10"/>
  <c r="L331" i="10" s="1"/>
  <c r="K418" i="10"/>
  <c r="K430" i="10"/>
  <c r="K449" i="10"/>
  <c r="K465" i="10"/>
  <c r="K497" i="10"/>
  <c r="K547" i="10"/>
  <c r="O568" i="10"/>
  <c r="O584" i="10"/>
  <c r="K589" i="10"/>
  <c r="K597" i="10"/>
  <c r="O599" i="10"/>
  <c r="K629" i="10"/>
  <c r="M22" i="11"/>
  <c r="M12" i="11" s="1"/>
  <c r="M10" i="11" s="1"/>
  <c r="M55" i="11"/>
  <c r="K117" i="11"/>
  <c r="N120" i="11"/>
  <c r="N118" i="11" s="1"/>
  <c r="K132" i="11"/>
  <c r="K138" i="11"/>
  <c r="K249" i="11"/>
  <c r="K199" i="14"/>
  <c r="L70" i="6"/>
  <c r="L68" i="6" s="1"/>
  <c r="K92" i="6"/>
  <c r="J182" i="1"/>
  <c r="O599" i="7"/>
  <c r="K108" i="8"/>
  <c r="K266" i="8"/>
  <c r="M292" i="8"/>
  <c r="P292" i="8" s="1"/>
  <c r="K630" i="8"/>
  <c r="N26" i="10"/>
  <c r="N16" i="10" s="1"/>
  <c r="N292" i="10"/>
  <c r="N290" i="10" s="1"/>
  <c r="N32" i="10"/>
  <c r="N32" i="11"/>
  <c r="N30" i="11" s="1"/>
  <c r="J503" i="1"/>
  <c r="N55" i="6"/>
  <c r="N53" i="6" s="1"/>
  <c r="K133" i="6"/>
  <c r="P275" i="6"/>
  <c r="K377" i="6"/>
  <c r="O380" i="6"/>
  <c r="O383" i="6"/>
  <c r="K398" i="6"/>
  <c r="O401" i="6"/>
  <c r="O406" i="6"/>
  <c r="K449" i="6"/>
  <c r="K466" i="6"/>
  <c r="K481" i="6"/>
  <c r="K497" i="6"/>
  <c r="K64" i="7"/>
  <c r="K328" i="7"/>
  <c r="K372" i="7"/>
  <c r="K375" i="7"/>
  <c r="K398" i="7"/>
  <c r="O401" i="7"/>
  <c r="O404" i="7"/>
  <c r="O459" i="7"/>
  <c r="K65" i="8"/>
  <c r="K249" i="8"/>
  <c r="N292" i="8"/>
  <c r="N290" i="8" s="1"/>
  <c r="M312" i="8"/>
  <c r="K340" i="8"/>
  <c r="K371" i="8"/>
  <c r="O380" i="8"/>
  <c r="K419" i="8"/>
  <c r="K422" i="8"/>
  <c r="K425" i="8"/>
  <c r="K428" i="8"/>
  <c r="K431" i="8"/>
  <c r="K464" i="8"/>
  <c r="O568" i="8"/>
  <c r="K621" i="8"/>
  <c r="K376" i="9"/>
  <c r="O537" i="9"/>
  <c r="O597" i="9"/>
  <c r="K138" i="10"/>
  <c r="K341" i="10"/>
  <c r="O455" i="10"/>
  <c r="L70" i="11"/>
  <c r="L68" i="11" s="1"/>
  <c r="L66" i="11" s="1"/>
  <c r="O349" i="11"/>
  <c r="K370" i="11"/>
  <c r="N552" i="1"/>
  <c r="K65" i="6"/>
  <c r="K93" i="6"/>
  <c r="N312" i="6"/>
  <c r="N310" i="6" s="1"/>
  <c r="K350" i="6"/>
  <c r="I349" i="1"/>
  <c r="L351" i="1"/>
  <c r="O351" i="1" s="1"/>
  <c r="N600" i="1"/>
  <c r="K616" i="7"/>
  <c r="M53" i="8"/>
  <c r="K372" i="8"/>
  <c r="K158" i="9"/>
  <c r="K189" i="9"/>
  <c r="N273" i="9"/>
  <c r="N271" i="9" s="1"/>
  <c r="N331" i="9"/>
  <c r="N329" i="9" s="1"/>
  <c r="N31" i="9"/>
  <c r="K422" i="9"/>
  <c r="K425" i="9"/>
  <c r="O439" i="9"/>
  <c r="K630" i="9"/>
  <c r="K633" i="9"/>
  <c r="L57" i="10"/>
  <c r="O57" i="10" s="1"/>
  <c r="N68" i="10"/>
  <c r="N66" i="10" s="1"/>
  <c r="N96" i="10"/>
  <c r="N94" i="10" s="1"/>
  <c r="K158" i="10"/>
  <c r="N222" i="10"/>
  <c r="N220" i="10" s="1"/>
  <c r="L294" i="10"/>
  <c r="O347" i="10"/>
  <c r="K401" i="10"/>
  <c r="K419" i="10"/>
  <c r="K422" i="10"/>
  <c r="K425" i="10"/>
  <c r="K428" i="10"/>
  <c r="K499" i="10"/>
  <c r="O566" i="10"/>
  <c r="O597" i="10"/>
  <c r="K611" i="10"/>
  <c r="K614" i="10"/>
  <c r="K617" i="10"/>
  <c r="K630" i="10"/>
  <c r="K65" i="11"/>
  <c r="K80" i="11"/>
  <c r="L122" i="11"/>
  <c r="K173" i="11"/>
  <c r="O347" i="11"/>
  <c r="K368" i="11"/>
  <c r="K380" i="11"/>
  <c r="O385" i="11"/>
  <c r="K482" i="11"/>
  <c r="K117" i="12"/>
  <c r="K80" i="6"/>
  <c r="K112" i="6"/>
  <c r="K117" i="6"/>
  <c r="L122" i="6"/>
  <c r="O122" i="6" s="1"/>
  <c r="K158" i="6"/>
  <c r="L224" i="6"/>
  <c r="O224" i="6" s="1"/>
  <c r="K349" i="6"/>
  <c r="K372" i="6"/>
  <c r="K375" i="6"/>
  <c r="K498" i="6"/>
  <c r="O537" i="6"/>
  <c r="K633" i="6"/>
  <c r="K108" i="7"/>
  <c r="K111" i="7"/>
  <c r="P254" i="7"/>
  <c r="K396" i="7"/>
  <c r="K402" i="7"/>
  <c r="K416" i="7"/>
  <c r="K424" i="7"/>
  <c r="O455" i="7"/>
  <c r="N43" i="8"/>
  <c r="N41" i="8" s="1"/>
  <c r="L70" i="8"/>
  <c r="K81" i="8"/>
  <c r="K216" i="8"/>
  <c r="K235" i="8"/>
  <c r="N331" i="8"/>
  <c r="N329" i="8" s="1"/>
  <c r="K341" i="8"/>
  <c r="O349" i="8"/>
  <c r="K381" i="8"/>
  <c r="K420" i="8"/>
  <c r="K423" i="8"/>
  <c r="K426" i="8"/>
  <c r="K429" i="8"/>
  <c r="K432" i="8"/>
  <c r="O435" i="8"/>
  <c r="K449" i="8"/>
  <c r="K562" i="8"/>
  <c r="P45" i="9"/>
  <c r="P57" i="9"/>
  <c r="L144" i="9"/>
  <c r="K164" i="9"/>
  <c r="K173" i="9"/>
  <c r="O380" i="9"/>
  <c r="K397" i="9"/>
  <c r="K401" i="9"/>
  <c r="O406" i="9"/>
  <c r="K464" i="9"/>
  <c r="K498" i="9"/>
  <c r="K593" i="9"/>
  <c r="K65" i="10"/>
  <c r="K345" i="10"/>
  <c r="O406" i="10"/>
  <c r="K417" i="10"/>
  <c r="K420" i="10"/>
  <c r="O437" i="10"/>
  <c r="K464" i="10"/>
  <c r="O535" i="10"/>
  <c r="O555" i="10"/>
  <c r="K560" i="10"/>
  <c r="O564" i="10"/>
  <c r="K591" i="10"/>
  <c r="K631" i="10"/>
  <c r="L144" i="11"/>
  <c r="L142" i="11" s="1"/>
  <c r="J154" i="1"/>
  <c r="L224" i="11"/>
  <c r="O224" i="11" s="1"/>
  <c r="L275" i="11"/>
  <c r="O275" i="11" s="1"/>
  <c r="N331" i="11"/>
  <c r="N329" i="11" s="1"/>
  <c r="N33" i="11"/>
  <c r="N13" i="11" s="1"/>
  <c r="K377" i="11"/>
  <c r="K474" i="11"/>
  <c r="K499" i="11"/>
  <c r="N33" i="12"/>
  <c r="N13" i="12" s="1"/>
  <c r="O401" i="13"/>
  <c r="K416" i="14"/>
  <c r="K533" i="11"/>
  <c r="O535" i="11"/>
  <c r="K564" i="11"/>
  <c r="L98" i="12"/>
  <c r="L96" i="12" s="1"/>
  <c r="K110" i="12"/>
  <c r="K113" i="12"/>
  <c r="K133" i="12"/>
  <c r="K149" i="12"/>
  <c r="K235" i="12"/>
  <c r="K266" i="12"/>
  <c r="K270" i="12"/>
  <c r="O437" i="12"/>
  <c r="O459" i="12"/>
  <c r="K464" i="12"/>
  <c r="K562" i="12"/>
  <c r="L98" i="13"/>
  <c r="O98" i="13" s="1"/>
  <c r="K133" i="13"/>
  <c r="P275" i="13"/>
  <c r="K345" i="13"/>
  <c r="O354" i="13"/>
  <c r="K381" i="13"/>
  <c r="K396" i="13"/>
  <c r="O404" i="13"/>
  <c r="K427" i="13"/>
  <c r="K449" i="13"/>
  <c r="O457" i="13"/>
  <c r="K564" i="13"/>
  <c r="O566" i="13"/>
  <c r="K597" i="13"/>
  <c r="O599" i="13"/>
  <c r="L45" i="14"/>
  <c r="O45" i="14" s="1"/>
  <c r="M120" i="14"/>
  <c r="N273" i="14"/>
  <c r="N271" i="14" s="1"/>
  <c r="K285" i="14"/>
  <c r="N331" i="14"/>
  <c r="N329" i="14" s="1"/>
  <c r="K372" i="14"/>
  <c r="K419" i="14"/>
  <c r="K455" i="14"/>
  <c r="K597" i="14"/>
  <c r="L32" i="14"/>
  <c r="K88" i="15"/>
  <c r="K204" i="15"/>
  <c r="K213" i="15"/>
  <c r="L314" i="15"/>
  <c r="O314" i="15" s="1"/>
  <c r="K328" i="15"/>
  <c r="N68" i="12"/>
  <c r="N66" i="12" s="1"/>
  <c r="N120" i="12"/>
  <c r="N118" i="12" s="1"/>
  <c r="N292" i="12"/>
  <c r="N290" i="12" s="1"/>
  <c r="K328" i="12"/>
  <c r="O347" i="12"/>
  <c r="K350" i="12"/>
  <c r="K368" i="12"/>
  <c r="N55" i="13"/>
  <c r="N53" i="13" s="1"/>
  <c r="N222" i="13"/>
  <c r="N220" i="13" s="1"/>
  <c r="N222" i="14"/>
  <c r="N220" i="14" s="1"/>
  <c r="P220" i="14" s="1"/>
  <c r="M329" i="14"/>
  <c r="N34" i="14"/>
  <c r="N14" i="14" s="1"/>
  <c r="N43" i="15"/>
  <c r="N41" i="15" s="1"/>
  <c r="K264" i="12"/>
  <c r="K267" i="12"/>
  <c r="K417" i="12"/>
  <c r="K420" i="12"/>
  <c r="K423" i="12"/>
  <c r="K426" i="12"/>
  <c r="K429" i="12"/>
  <c r="K432" i="12"/>
  <c r="O435" i="12"/>
  <c r="K449" i="12"/>
  <c r="K455" i="12"/>
  <c r="O457" i="12"/>
  <c r="O597" i="12"/>
  <c r="K619" i="12"/>
  <c r="L275" i="13"/>
  <c r="L273" i="13" s="1"/>
  <c r="L314" i="13"/>
  <c r="K380" i="13"/>
  <c r="K397" i="13"/>
  <c r="K401" i="13"/>
  <c r="K425" i="13"/>
  <c r="O439" i="13"/>
  <c r="O564" i="13"/>
  <c r="K595" i="13"/>
  <c r="K110" i="14"/>
  <c r="P333" i="14"/>
  <c r="K370" i="14"/>
  <c r="K398" i="14"/>
  <c r="K427" i="14"/>
  <c r="K432" i="14"/>
  <c r="K625" i="14"/>
  <c r="K623" i="14"/>
  <c r="K621" i="14"/>
  <c r="K626" i="14"/>
  <c r="K624" i="14"/>
  <c r="K622" i="14"/>
  <c r="K620" i="14"/>
  <c r="K533" i="17"/>
  <c r="N252" i="12"/>
  <c r="N32" i="12"/>
  <c r="N30" i="12" s="1"/>
  <c r="L24" i="13"/>
  <c r="O24" i="13" s="1"/>
  <c r="N120" i="14"/>
  <c r="N118" i="14" s="1"/>
  <c r="N32" i="15"/>
  <c r="N30" i="15" s="1"/>
  <c r="M120" i="18"/>
  <c r="P120" i="18" s="1"/>
  <c r="P122" i="18"/>
  <c r="O537" i="11"/>
  <c r="O580" i="11"/>
  <c r="O601" i="11"/>
  <c r="K628" i="11"/>
  <c r="K631" i="11"/>
  <c r="K634" i="11"/>
  <c r="L26" i="12"/>
  <c r="L16" i="12" s="1"/>
  <c r="L70" i="12"/>
  <c r="K109" i="12"/>
  <c r="K112" i="12"/>
  <c r="N31" i="12"/>
  <c r="N29" i="12" s="1"/>
  <c r="K402" i="12"/>
  <c r="K418" i="12"/>
  <c r="K421" i="12"/>
  <c r="K424" i="12"/>
  <c r="K427" i="12"/>
  <c r="K430" i="12"/>
  <c r="O533" i="12"/>
  <c r="K547" i="12"/>
  <c r="K564" i="12"/>
  <c r="K132" i="13"/>
  <c r="N142" i="13"/>
  <c r="P142" i="13" s="1"/>
  <c r="K285" i="13"/>
  <c r="N33" i="13"/>
  <c r="N13" i="13" s="1"/>
  <c r="O383" i="13"/>
  <c r="K423" i="13"/>
  <c r="K464" i="13"/>
  <c r="K482" i="13"/>
  <c r="O533" i="13"/>
  <c r="N32" i="13"/>
  <c r="N30" i="13" s="1"/>
  <c r="O568" i="13"/>
  <c r="O584" i="13"/>
  <c r="K591" i="13"/>
  <c r="K611" i="13"/>
  <c r="K630" i="13"/>
  <c r="N43" i="14"/>
  <c r="N41" i="14" s="1"/>
  <c r="N55" i="14"/>
  <c r="N53" i="14" s="1"/>
  <c r="L70" i="14"/>
  <c r="O70" i="14" s="1"/>
  <c r="K93" i="14"/>
  <c r="L122" i="14"/>
  <c r="L120" i="14" s="1"/>
  <c r="O120" i="14" s="1"/>
  <c r="K189" i="14"/>
  <c r="K219" i="14"/>
  <c r="K328" i="14"/>
  <c r="K396" i="14"/>
  <c r="K423" i="14"/>
  <c r="O439" i="14"/>
  <c r="K628" i="14"/>
  <c r="L70" i="15"/>
  <c r="L68" i="15" s="1"/>
  <c r="P275" i="15"/>
  <c r="N31" i="15"/>
  <c r="N29" i="15" s="1"/>
  <c r="K427" i="18"/>
  <c r="K117" i="15"/>
  <c r="L275" i="15"/>
  <c r="L273" i="15" s="1"/>
  <c r="N292" i="15"/>
  <c r="N290" i="15" s="1"/>
  <c r="K368" i="15"/>
  <c r="O380" i="15"/>
  <c r="K423" i="15"/>
  <c r="K429" i="15"/>
  <c r="K630" i="15"/>
  <c r="O74" i="16"/>
  <c r="N96" i="16"/>
  <c r="N94" i="16" s="1"/>
  <c r="P122" i="16"/>
  <c r="N252" i="16"/>
  <c r="N250" i="16" s="1"/>
  <c r="L275" i="16"/>
  <c r="O275" i="16" s="1"/>
  <c r="K345" i="16"/>
  <c r="O385" i="16"/>
  <c r="K397" i="16"/>
  <c r="K424" i="16"/>
  <c r="K435" i="16"/>
  <c r="K482" i="16"/>
  <c r="K547" i="16"/>
  <c r="K573" i="16"/>
  <c r="K580" i="16"/>
  <c r="O582" i="16"/>
  <c r="K629" i="16"/>
  <c r="K635" i="16"/>
  <c r="L122" i="17"/>
  <c r="O122" i="17" s="1"/>
  <c r="K249" i="17"/>
  <c r="L294" i="17"/>
  <c r="I367" i="17"/>
  <c r="K367" i="17" s="1"/>
  <c r="O535" i="17"/>
  <c r="O601" i="17"/>
  <c r="M68" i="18"/>
  <c r="M66" i="18" s="1"/>
  <c r="K80" i="18"/>
  <c r="K83" i="18"/>
  <c r="K86" i="18"/>
  <c r="N120" i="18"/>
  <c r="N118" i="18" s="1"/>
  <c r="M142" i="18"/>
  <c r="M140" i="18" s="1"/>
  <c r="K219" i="18"/>
  <c r="K267" i="18"/>
  <c r="L275" i="18"/>
  <c r="N292" i="18"/>
  <c r="N290" i="18" s="1"/>
  <c r="K304" i="18"/>
  <c r="K309" i="18"/>
  <c r="K370" i="18"/>
  <c r="K376" i="18"/>
  <c r="K380" i="18"/>
  <c r="O385" i="18"/>
  <c r="K419" i="18"/>
  <c r="K422" i="18"/>
  <c r="N34" i="18"/>
  <c r="N14" i="18" s="1"/>
  <c r="O584" i="18"/>
  <c r="O597" i="18"/>
  <c r="K633" i="18"/>
  <c r="N33" i="15"/>
  <c r="N13" i="15" s="1"/>
  <c r="K398" i="15"/>
  <c r="K418" i="15"/>
  <c r="K564" i="15"/>
  <c r="O566" i="15"/>
  <c r="K612" i="15"/>
  <c r="K615" i="15"/>
  <c r="L294" i="16"/>
  <c r="L292" i="16" s="1"/>
  <c r="O292" i="16" s="1"/>
  <c r="O383" i="16"/>
  <c r="K422" i="16"/>
  <c r="K455" i="16"/>
  <c r="O537" i="16"/>
  <c r="K595" i="16"/>
  <c r="O597" i="16"/>
  <c r="K630" i="16"/>
  <c r="N68" i="17"/>
  <c r="N66" i="17" s="1"/>
  <c r="L275" i="17"/>
  <c r="O275" i="17" s="1"/>
  <c r="K328" i="17"/>
  <c r="N31" i="17"/>
  <c r="K629" i="17"/>
  <c r="K635" i="17"/>
  <c r="K229" i="18"/>
  <c r="K265" i="18"/>
  <c r="O383" i="18"/>
  <c r="K420" i="18"/>
  <c r="K423" i="18"/>
  <c r="K428" i="18"/>
  <c r="K435" i="18"/>
  <c r="O437" i="18"/>
  <c r="K455" i="18"/>
  <c r="O459" i="18"/>
  <c r="O535" i="18"/>
  <c r="O580" i="14"/>
  <c r="K629" i="14"/>
  <c r="O148" i="15"/>
  <c r="L294" i="15"/>
  <c r="L292" i="15" s="1"/>
  <c r="O292" i="15" s="1"/>
  <c r="K381" i="15"/>
  <c r="O439" i="15"/>
  <c r="K450" i="15"/>
  <c r="O459" i="15"/>
  <c r="K464" i="15"/>
  <c r="K473" i="15"/>
  <c r="K482" i="15"/>
  <c r="K497" i="15"/>
  <c r="K533" i="15"/>
  <c r="K149" i="16"/>
  <c r="K189" i="16"/>
  <c r="N222" i="16"/>
  <c r="N331" i="16"/>
  <c r="P331" i="16" s="1"/>
  <c r="K341" i="16"/>
  <c r="O349" i="16"/>
  <c r="O352" i="16"/>
  <c r="I367" i="16"/>
  <c r="K367" i="16" s="1"/>
  <c r="O401" i="16"/>
  <c r="O404" i="16"/>
  <c r="K464" i="16"/>
  <c r="K473" i="16"/>
  <c r="K562" i="16"/>
  <c r="O564" i="16"/>
  <c r="P70" i="17"/>
  <c r="K108" i="17"/>
  <c r="N142" i="18"/>
  <c r="N140" i="18" s="1"/>
  <c r="N273" i="18"/>
  <c r="N271" i="18" s="1"/>
  <c r="N32" i="18"/>
  <c r="N30" i="18" s="1"/>
  <c r="K340" i="15"/>
  <c r="K343" i="15"/>
  <c r="O349" i="15"/>
  <c r="O352" i="15"/>
  <c r="K422" i="15"/>
  <c r="O597" i="15"/>
  <c r="K618" i="15"/>
  <c r="K616" i="15"/>
  <c r="K619" i="15"/>
  <c r="K629" i="15"/>
  <c r="K117" i="16"/>
  <c r="K200" i="16"/>
  <c r="K235" i="16"/>
  <c r="K416" i="16"/>
  <c r="K428" i="16"/>
  <c r="K481" i="16"/>
  <c r="K631" i="16"/>
  <c r="N22" i="17"/>
  <c r="N55" i="17"/>
  <c r="N53" i="17" s="1"/>
  <c r="P98" i="17"/>
  <c r="N142" i="17"/>
  <c r="N140" i="17" s="1"/>
  <c r="K149" i="17"/>
  <c r="K164" i="17"/>
  <c r="K173" i="17"/>
  <c r="K186" i="17"/>
  <c r="K200" i="17"/>
  <c r="K235" i="17"/>
  <c r="K340" i="17"/>
  <c r="O553" i="17"/>
  <c r="L57" i="18"/>
  <c r="L55" i="18" s="1"/>
  <c r="L53" i="18" s="1"/>
  <c r="K164" i="18"/>
  <c r="K173" i="18"/>
  <c r="K200" i="18"/>
  <c r="L224" i="18"/>
  <c r="O224" i="18" s="1"/>
  <c r="K372" i="18"/>
  <c r="K375" i="18"/>
  <c r="K381" i="18"/>
  <c r="K418" i="18"/>
  <c r="K421" i="18"/>
  <c r="K424" i="18"/>
  <c r="O435" i="18"/>
  <c r="K449" i="18"/>
  <c r="K547" i="18"/>
  <c r="K371" i="3"/>
  <c r="I367" i="3"/>
  <c r="K367" i="3" s="1"/>
  <c r="L554" i="1"/>
  <c r="O554" i="1" s="1"/>
  <c r="L600" i="1"/>
  <c r="O600" i="1" s="1"/>
  <c r="N22" i="2"/>
  <c r="I109" i="1"/>
  <c r="N279" i="1"/>
  <c r="J285" i="1"/>
  <c r="N294" i="1"/>
  <c r="L354" i="1"/>
  <c r="N383" i="1"/>
  <c r="L401" i="1"/>
  <c r="L404" i="1"/>
  <c r="I474" i="1"/>
  <c r="K474" i="1" s="1"/>
  <c r="I484" i="1"/>
  <c r="K484" i="1" s="1"/>
  <c r="I491" i="1"/>
  <c r="K491" i="1" s="1"/>
  <c r="I494" i="1"/>
  <c r="K494" i="1" s="1"/>
  <c r="J497" i="1"/>
  <c r="I513" i="1"/>
  <c r="K513" i="1" s="1"/>
  <c r="N535" i="1"/>
  <c r="I576" i="1"/>
  <c r="K576" i="1" s="1"/>
  <c r="I579" i="1"/>
  <c r="K579" i="1" s="1"/>
  <c r="L581" i="1"/>
  <c r="O581" i="1" s="1"/>
  <c r="I592" i="1"/>
  <c r="K592" i="1" s="1"/>
  <c r="J628" i="1"/>
  <c r="L45" i="2"/>
  <c r="L43" i="2" s="1"/>
  <c r="L41" i="2" s="1"/>
  <c r="N26" i="2"/>
  <c r="N16" i="2" s="1"/>
  <c r="J84" i="1"/>
  <c r="K86" i="2"/>
  <c r="L98" i="2"/>
  <c r="K117" i="2"/>
  <c r="L122" i="2"/>
  <c r="L120" i="2" s="1"/>
  <c r="L118" i="2" s="1"/>
  <c r="P144" i="2"/>
  <c r="K219" i="2"/>
  <c r="P224" i="2"/>
  <c r="K270" i="2"/>
  <c r="O279" i="2"/>
  <c r="K285" i="2"/>
  <c r="K309" i="2"/>
  <c r="L333" i="2"/>
  <c r="K340" i="2"/>
  <c r="O349" i="2"/>
  <c r="K381" i="2"/>
  <c r="K402" i="2"/>
  <c r="K418" i="2"/>
  <c r="K481" i="2"/>
  <c r="K505" i="2"/>
  <c r="O580" i="2"/>
  <c r="K628" i="2"/>
  <c r="K634" i="2"/>
  <c r="L24" i="3"/>
  <c r="O24" i="3" s="1"/>
  <c r="L98" i="3"/>
  <c r="P294" i="3"/>
  <c r="M292" i="3"/>
  <c r="M120" i="4"/>
  <c r="P144" i="4"/>
  <c r="N142" i="4"/>
  <c r="N140" i="4" s="1"/>
  <c r="O553" i="4"/>
  <c r="N572" i="1"/>
  <c r="N96" i="5"/>
  <c r="N94" i="5" s="1"/>
  <c r="N292" i="5"/>
  <c r="N290" i="5" s="1"/>
  <c r="N357" i="1"/>
  <c r="J364" i="1"/>
  <c r="P70" i="6"/>
  <c r="M68" i="6"/>
  <c r="P98" i="6"/>
  <c r="M96" i="6"/>
  <c r="O74" i="7"/>
  <c r="L26" i="7"/>
  <c r="L16" i="7" s="1"/>
  <c r="L26" i="8"/>
  <c r="L16" i="8" s="1"/>
  <c r="O439" i="8"/>
  <c r="L34" i="8"/>
  <c r="M43" i="4"/>
  <c r="P45" i="4"/>
  <c r="O404" i="5"/>
  <c r="N32" i="5"/>
  <c r="N30" i="5" s="1"/>
  <c r="L347" i="1"/>
  <c r="N353" i="1"/>
  <c r="L34" i="2"/>
  <c r="O401" i="2"/>
  <c r="P254" i="3"/>
  <c r="N252" i="3"/>
  <c r="N250" i="3" s="1"/>
  <c r="L47" i="1"/>
  <c r="L71" i="1"/>
  <c r="J93" i="1"/>
  <c r="I82" i="1"/>
  <c r="L145" i="1"/>
  <c r="I215" i="1"/>
  <c r="I249" i="1"/>
  <c r="M275" i="1"/>
  <c r="M333" i="1"/>
  <c r="I342" i="1"/>
  <c r="K342" i="1" s="1"/>
  <c r="I345" i="1"/>
  <c r="I370" i="1"/>
  <c r="L384" i="1"/>
  <c r="O384" i="1" s="1"/>
  <c r="N404" i="1"/>
  <c r="J418" i="1"/>
  <c r="I465" i="1"/>
  <c r="I478" i="1"/>
  <c r="K478" i="1" s="1"/>
  <c r="I485" i="1"/>
  <c r="K485" i="1" s="1"/>
  <c r="I498" i="1"/>
  <c r="L552" i="1"/>
  <c r="O552" i="1" s="1"/>
  <c r="L555" i="1"/>
  <c r="L598" i="1"/>
  <c r="O598" i="1" s="1"/>
  <c r="L601" i="1"/>
  <c r="J632" i="1"/>
  <c r="N32" i="2"/>
  <c r="N30" i="2" s="1"/>
  <c r="N34" i="2"/>
  <c r="N14" i="2" s="1"/>
  <c r="N55" i="2"/>
  <c r="N53" i="2" s="1"/>
  <c r="K84" i="2"/>
  <c r="K112" i="2"/>
  <c r="M120" i="2"/>
  <c r="K204" i="2"/>
  <c r="K238" i="2"/>
  <c r="O258" i="2"/>
  <c r="M273" i="2"/>
  <c r="M312" i="2"/>
  <c r="M310" i="2" s="1"/>
  <c r="N331" i="2"/>
  <c r="I367" i="2"/>
  <c r="K367" i="2" s="1"/>
  <c r="K401" i="2"/>
  <c r="K466" i="2"/>
  <c r="L31" i="3"/>
  <c r="L29" i="3" s="1"/>
  <c r="J176" i="1"/>
  <c r="M271" i="3"/>
  <c r="N292" i="3"/>
  <c r="N290" i="3" s="1"/>
  <c r="L144" i="4"/>
  <c r="K173" i="4"/>
  <c r="P254" i="4"/>
  <c r="M252" i="4"/>
  <c r="M250" i="4" s="1"/>
  <c r="K422" i="4"/>
  <c r="N96" i="6"/>
  <c r="N94" i="6" s="1"/>
  <c r="P144" i="6"/>
  <c r="M142" i="6"/>
  <c r="P314" i="7"/>
  <c r="M312" i="7"/>
  <c r="P312" i="7" s="1"/>
  <c r="L33" i="10"/>
  <c r="O33" i="10" s="1"/>
  <c r="O405" i="10"/>
  <c r="N102" i="1"/>
  <c r="I201" i="1"/>
  <c r="I344" i="1"/>
  <c r="K344" i="1" s="1"/>
  <c r="J427" i="1"/>
  <c r="I503" i="1"/>
  <c r="K503" i="1" s="1"/>
  <c r="N537" i="1"/>
  <c r="L551" i="1"/>
  <c r="N580" i="1"/>
  <c r="P57" i="2"/>
  <c r="K417" i="2"/>
  <c r="O351" i="7"/>
  <c r="L31" i="7"/>
  <c r="L29" i="7" s="1"/>
  <c r="I186" i="1"/>
  <c r="I339" i="1"/>
  <c r="K339" i="1" s="1"/>
  <c r="I368" i="1"/>
  <c r="I396" i="1"/>
  <c r="L438" i="1"/>
  <c r="O438" i="1" s="1"/>
  <c r="I451" i="1"/>
  <c r="J455" i="1"/>
  <c r="I489" i="1"/>
  <c r="K489" i="1" s="1"/>
  <c r="I492" i="1"/>
  <c r="K492" i="1" s="1"/>
  <c r="L582" i="1"/>
  <c r="I590" i="1"/>
  <c r="K590" i="1" s="1"/>
  <c r="I593" i="1"/>
  <c r="I596" i="1"/>
  <c r="K596" i="1" s="1"/>
  <c r="I633" i="1"/>
  <c r="L33" i="2"/>
  <c r="O33" i="2" s="1"/>
  <c r="M292" i="4"/>
  <c r="N312" i="4"/>
  <c r="P314" i="4"/>
  <c r="P333" i="4"/>
  <c r="M331" i="4"/>
  <c r="M329" i="4" s="1"/>
  <c r="O382" i="4"/>
  <c r="L31" i="4"/>
  <c r="O31" i="4" s="1"/>
  <c r="K625" i="5"/>
  <c r="K626" i="5"/>
  <c r="K620" i="5"/>
  <c r="K622" i="5"/>
  <c r="J64" i="1"/>
  <c r="N32" i="7"/>
  <c r="N30" i="7" s="1"/>
  <c r="O102" i="8"/>
  <c r="N96" i="8"/>
  <c r="N94" i="8" s="1"/>
  <c r="P144" i="8"/>
  <c r="M142" i="8"/>
  <c r="M294" i="1"/>
  <c r="I309" i="1"/>
  <c r="I397" i="1"/>
  <c r="L597" i="1"/>
  <c r="I611" i="1"/>
  <c r="P314" i="2"/>
  <c r="P98" i="5"/>
  <c r="M96" i="5"/>
  <c r="M94" i="5" s="1"/>
  <c r="P144" i="5"/>
  <c r="M142" i="5"/>
  <c r="O354" i="6"/>
  <c r="N34" i="6"/>
  <c r="N14" i="6" s="1"/>
  <c r="L49" i="1"/>
  <c r="I64" i="1"/>
  <c r="I87" i="1"/>
  <c r="L228" i="1"/>
  <c r="O228" i="1" s="1"/>
  <c r="I270" i="1"/>
  <c r="M45" i="1"/>
  <c r="I65" i="1"/>
  <c r="I80" i="1"/>
  <c r="M122" i="1"/>
  <c r="I138" i="1"/>
  <c r="L148" i="1"/>
  <c r="I200" i="1"/>
  <c r="L315" i="1"/>
  <c r="I375" i="1"/>
  <c r="J429" i="1"/>
  <c r="I452" i="1"/>
  <c r="K452" i="1" s="1"/>
  <c r="I479" i="1"/>
  <c r="K479" i="1" s="1"/>
  <c r="I502" i="1"/>
  <c r="K502" i="1" s="1"/>
  <c r="I508" i="1"/>
  <c r="K508" i="1" s="1"/>
  <c r="I564" i="1"/>
  <c r="J573" i="1"/>
  <c r="J593" i="1"/>
  <c r="L599" i="1"/>
  <c r="J619" i="1"/>
  <c r="J80" i="1"/>
  <c r="L144" i="2"/>
  <c r="O144" i="2" s="1"/>
  <c r="K199" i="2"/>
  <c r="M292" i="2"/>
  <c r="P292" i="2" s="1"/>
  <c r="N312" i="2"/>
  <c r="N310" i="2" s="1"/>
  <c r="K324" i="2"/>
  <c r="P333" i="2"/>
  <c r="O380" i="2"/>
  <c r="K398" i="2"/>
  <c r="K451" i="2"/>
  <c r="J89" i="1"/>
  <c r="P314" i="3"/>
  <c r="M312" i="3"/>
  <c r="P312" i="3" s="1"/>
  <c r="O49" i="4"/>
  <c r="N26" i="4"/>
  <c r="N16" i="4" s="1"/>
  <c r="J326" i="1"/>
  <c r="N331" i="4"/>
  <c r="N329" i="4" s="1"/>
  <c r="N33" i="4"/>
  <c r="N13" i="4" s="1"/>
  <c r="N34" i="4"/>
  <c r="N14" i="4" s="1"/>
  <c r="O535" i="4"/>
  <c r="J597" i="1"/>
  <c r="M273" i="5"/>
  <c r="J435" i="1"/>
  <c r="N31" i="5"/>
  <c r="N29" i="5" s="1"/>
  <c r="M271" i="6"/>
  <c r="L23" i="8"/>
  <c r="O352" i="8"/>
  <c r="L32" i="8"/>
  <c r="O383" i="8"/>
  <c r="N32" i="8"/>
  <c r="N30" i="8" s="1"/>
  <c r="M220" i="9"/>
  <c r="K369" i="9"/>
  <c r="I367" i="9"/>
  <c r="K367" i="9" s="1"/>
  <c r="L32" i="9"/>
  <c r="L30" i="9" s="1"/>
  <c r="O404" i="9"/>
  <c r="P98" i="3"/>
  <c r="P144" i="3"/>
  <c r="K380" i="3"/>
  <c r="K419" i="3"/>
  <c r="K431" i="3"/>
  <c r="K573" i="3"/>
  <c r="K616" i="3"/>
  <c r="N43" i="4"/>
  <c r="N41" i="4" s="1"/>
  <c r="K113" i="4"/>
  <c r="K149" i="4"/>
  <c r="K213" i="4"/>
  <c r="L24" i="4"/>
  <c r="O24" i="4" s="1"/>
  <c r="O352" i="4"/>
  <c r="K381" i="4"/>
  <c r="N32" i="4"/>
  <c r="N30" i="4" s="1"/>
  <c r="K397" i="4"/>
  <c r="K419" i="4"/>
  <c r="K431" i="4"/>
  <c r="K498" i="4"/>
  <c r="K533" i="4"/>
  <c r="K562" i="4"/>
  <c r="K613" i="4"/>
  <c r="L146" i="1"/>
  <c r="J158" i="1"/>
  <c r="J216" i="1"/>
  <c r="K402" i="5"/>
  <c r="K423" i="5"/>
  <c r="K429" i="5"/>
  <c r="K595" i="5"/>
  <c r="J233" i="1"/>
  <c r="N26" i="8"/>
  <c r="N273" i="8"/>
  <c r="P275" i="8"/>
  <c r="N96" i="9"/>
  <c r="N94" i="9" s="1"/>
  <c r="N22" i="9"/>
  <c r="K421" i="2"/>
  <c r="K427" i="2"/>
  <c r="N31" i="2"/>
  <c r="N11" i="2" s="1"/>
  <c r="N9" i="2" s="1"/>
  <c r="K455" i="2"/>
  <c r="O457" i="2"/>
  <c r="K474" i="2"/>
  <c r="K498" i="2"/>
  <c r="N559" i="1"/>
  <c r="K562" i="2"/>
  <c r="N33" i="2"/>
  <c r="N13" i="2" s="1"/>
  <c r="K591" i="2"/>
  <c r="K597" i="2"/>
  <c r="O599" i="2"/>
  <c r="K629" i="2"/>
  <c r="K635" i="2"/>
  <c r="L45" i="3"/>
  <c r="L57" i="3"/>
  <c r="K65" i="3"/>
  <c r="J106" i="1"/>
  <c r="K110" i="3"/>
  <c r="K113" i="3"/>
  <c r="L144" i="3"/>
  <c r="M250" i="3"/>
  <c r="P333" i="3"/>
  <c r="O349" i="3"/>
  <c r="K372" i="3"/>
  <c r="K417" i="3"/>
  <c r="K429" i="3"/>
  <c r="O584" i="3"/>
  <c r="K589" i="3"/>
  <c r="K619" i="3"/>
  <c r="K632" i="3"/>
  <c r="K92" i="4"/>
  <c r="K108" i="4"/>
  <c r="M140" i="4"/>
  <c r="K176" i="4"/>
  <c r="K189" i="4"/>
  <c r="K229" i="4"/>
  <c r="K235" i="4"/>
  <c r="L275" i="4"/>
  <c r="L273" i="4" s="1"/>
  <c r="L271" i="4" s="1"/>
  <c r="L294" i="4"/>
  <c r="O294" i="4" s="1"/>
  <c r="O347" i="4"/>
  <c r="N31" i="4"/>
  <c r="N29" i="4" s="1"/>
  <c r="K499" i="4"/>
  <c r="K547" i="4"/>
  <c r="K563" i="4"/>
  <c r="K611" i="4"/>
  <c r="K618" i="4"/>
  <c r="N43" i="5"/>
  <c r="P43" i="5" s="1"/>
  <c r="K93" i="5"/>
  <c r="K164" i="5"/>
  <c r="P224" i="5"/>
  <c r="N26" i="5"/>
  <c r="N16" i="5" s="1"/>
  <c r="L275" i="5"/>
  <c r="L273" i="5" s="1"/>
  <c r="L333" i="5"/>
  <c r="L331" i="5" s="1"/>
  <c r="N34" i="5"/>
  <c r="N14" i="5" s="1"/>
  <c r="O383" i="5"/>
  <c r="K401" i="5"/>
  <c r="K416" i="5"/>
  <c r="K424" i="5"/>
  <c r="K430" i="5"/>
  <c r="K498" i="5"/>
  <c r="K580" i="5"/>
  <c r="K593" i="5"/>
  <c r="P45" i="6"/>
  <c r="P57" i="6"/>
  <c r="K341" i="6"/>
  <c r="O347" i="6"/>
  <c r="P224" i="7"/>
  <c r="M222" i="7"/>
  <c r="K369" i="7"/>
  <c r="I367" i="7"/>
  <c r="K367" i="7" s="1"/>
  <c r="M43" i="8"/>
  <c r="P45" i="8"/>
  <c r="P70" i="8"/>
  <c r="M68" i="8"/>
  <c r="P122" i="8"/>
  <c r="M120" i="8"/>
  <c r="N312" i="8"/>
  <c r="N310" i="8" s="1"/>
  <c r="N68" i="11"/>
  <c r="N66" i="11" s="1"/>
  <c r="N22" i="11"/>
  <c r="P254" i="11"/>
  <c r="M252" i="11"/>
  <c r="O351" i="12"/>
  <c r="L31" i="12"/>
  <c r="L29" i="12" s="1"/>
  <c r="O568" i="12"/>
  <c r="N34" i="12"/>
  <c r="N14" i="12" s="1"/>
  <c r="K419" i="2"/>
  <c r="K425" i="2"/>
  <c r="K431" i="2"/>
  <c r="K435" i="2"/>
  <c r="O437" i="2"/>
  <c r="K482" i="2"/>
  <c r="K533" i="2"/>
  <c r="K547" i="2"/>
  <c r="K595" i="2"/>
  <c r="O597" i="2"/>
  <c r="K618" i="2"/>
  <c r="K633" i="2"/>
  <c r="K108" i="3"/>
  <c r="K111" i="3"/>
  <c r="N142" i="3"/>
  <c r="P142" i="3" s="1"/>
  <c r="P224" i="3"/>
  <c r="N32" i="3"/>
  <c r="N30" i="3" s="1"/>
  <c r="K370" i="3"/>
  <c r="O385" i="3"/>
  <c r="K425" i="3"/>
  <c r="N33" i="3"/>
  <c r="N13" i="3" s="1"/>
  <c r="O580" i="3"/>
  <c r="K597" i="3"/>
  <c r="K615" i="3"/>
  <c r="K630" i="3"/>
  <c r="K112" i="4"/>
  <c r="K138" i="4"/>
  <c r="M222" i="4"/>
  <c r="K340" i="4"/>
  <c r="O404" i="4"/>
  <c r="K449" i="4"/>
  <c r="K464" i="4"/>
  <c r="K482" i="4"/>
  <c r="K580" i="4"/>
  <c r="K614" i="4"/>
  <c r="K619" i="4"/>
  <c r="K632" i="4"/>
  <c r="K113" i="5"/>
  <c r="O337" i="5"/>
  <c r="K381" i="5"/>
  <c r="L34" i="5"/>
  <c r="K449" i="5"/>
  <c r="K466" i="5"/>
  <c r="K589" i="5"/>
  <c r="K113" i="6"/>
  <c r="K616" i="6"/>
  <c r="K618" i="6"/>
  <c r="K612" i="6"/>
  <c r="J159" i="1"/>
  <c r="J164" i="1"/>
  <c r="J195" i="1"/>
  <c r="N312" i="7"/>
  <c r="N310" i="7" s="1"/>
  <c r="O405" i="7"/>
  <c r="L33" i="7"/>
  <c r="O33" i="7" s="1"/>
  <c r="P98" i="8"/>
  <c r="M96" i="8"/>
  <c r="O351" i="8"/>
  <c r="L31" i="8"/>
  <c r="N34" i="9"/>
  <c r="N14" i="9" s="1"/>
  <c r="O354" i="9"/>
  <c r="O567" i="9"/>
  <c r="L33" i="9"/>
  <c r="O33" i="9" s="1"/>
  <c r="N33" i="10"/>
  <c r="N13" i="10" s="1"/>
  <c r="P275" i="11"/>
  <c r="M273" i="11"/>
  <c r="O351" i="13"/>
  <c r="L31" i="13"/>
  <c r="L29" i="13" s="1"/>
  <c r="K420" i="2"/>
  <c r="K426" i="2"/>
  <c r="K432" i="2"/>
  <c r="O435" i="2"/>
  <c r="K551" i="2"/>
  <c r="O553" i="2"/>
  <c r="K580" i="2"/>
  <c r="O582" i="2"/>
  <c r="N26" i="3"/>
  <c r="N16" i="3" s="1"/>
  <c r="M66" i="3"/>
  <c r="P70" i="3"/>
  <c r="K81" i="3"/>
  <c r="K92" i="3"/>
  <c r="N94" i="3"/>
  <c r="L122" i="3"/>
  <c r="L120" i="3" s="1"/>
  <c r="O120" i="3" s="1"/>
  <c r="K189" i="3"/>
  <c r="K199" i="3"/>
  <c r="L275" i="3"/>
  <c r="L273" i="3" s="1"/>
  <c r="J308" i="1"/>
  <c r="J340" i="1"/>
  <c r="J350" i="1"/>
  <c r="K376" i="3"/>
  <c r="J379" i="1"/>
  <c r="K398" i="3"/>
  <c r="K449" i="3"/>
  <c r="J451" i="1"/>
  <c r="J472" i="1"/>
  <c r="K482" i="3"/>
  <c r="J484" i="1"/>
  <c r="J496" i="1"/>
  <c r="J508" i="1"/>
  <c r="K533" i="3"/>
  <c r="O535" i="3"/>
  <c r="K564" i="3"/>
  <c r="N31" i="3"/>
  <c r="K595" i="3"/>
  <c r="K613" i="3"/>
  <c r="I616" i="1"/>
  <c r="I624" i="1"/>
  <c r="K631" i="3"/>
  <c r="L122" i="4"/>
  <c r="J161" i="1"/>
  <c r="J212" i="1"/>
  <c r="K265" i="4"/>
  <c r="K285" i="4"/>
  <c r="K328" i="4"/>
  <c r="K341" i="4"/>
  <c r="K349" i="4"/>
  <c r="O354" i="4"/>
  <c r="O385" i="4"/>
  <c r="K423" i="4"/>
  <c r="K450" i="4"/>
  <c r="K465" i="4"/>
  <c r="K564" i="4"/>
  <c r="K573" i="4"/>
  <c r="K591" i="4"/>
  <c r="K617" i="4"/>
  <c r="K625" i="4"/>
  <c r="K624" i="4"/>
  <c r="K630" i="4"/>
  <c r="K111" i="5"/>
  <c r="P122" i="5"/>
  <c r="K132" i="5"/>
  <c r="M222" i="5"/>
  <c r="K328" i="5"/>
  <c r="I367" i="5"/>
  <c r="K367" i="5" s="1"/>
  <c r="O406" i="5"/>
  <c r="K425" i="5"/>
  <c r="K455" i="5"/>
  <c r="O457" i="5"/>
  <c r="K464" i="5"/>
  <c r="K547" i="5"/>
  <c r="O568" i="5"/>
  <c r="K573" i="5"/>
  <c r="K597" i="5"/>
  <c r="O599" i="5"/>
  <c r="K614" i="5"/>
  <c r="K81" i="6"/>
  <c r="K84" i="6"/>
  <c r="K111" i="6"/>
  <c r="P122" i="6"/>
  <c r="K132" i="6"/>
  <c r="K164" i="6"/>
  <c r="K199" i="6"/>
  <c r="P314" i="6"/>
  <c r="M312" i="6"/>
  <c r="P312" i="6" s="1"/>
  <c r="K369" i="6"/>
  <c r="I367" i="6"/>
  <c r="K367" i="6" s="1"/>
  <c r="P98" i="7"/>
  <c r="N96" i="7"/>
  <c r="P96" i="7" s="1"/>
  <c r="M22" i="8"/>
  <c r="L144" i="8"/>
  <c r="L45" i="9"/>
  <c r="L43" i="9" s="1"/>
  <c r="L23" i="9"/>
  <c r="M43" i="11"/>
  <c r="P45" i="11"/>
  <c r="P122" i="12"/>
  <c r="M120" i="12"/>
  <c r="M118" i="12" s="1"/>
  <c r="P294" i="12"/>
  <c r="M292" i="12"/>
  <c r="P292" i="12" s="1"/>
  <c r="K249" i="6"/>
  <c r="K265" i="6"/>
  <c r="K340" i="6"/>
  <c r="K376" i="6"/>
  <c r="O385" i="6"/>
  <c r="K402" i="6"/>
  <c r="K482" i="6"/>
  <c r="K93" i="7"/>
  <c r="K110" i="7"/>
  <c r="K113" i="7"/>
  <c r="K149" i="7"/>
  <c r="K158" i="7"/>
  <c r="M250" i="7"/>
  <c r="P250" i="7" s="1"/>
  <c r="P333" i="7"/>
  <c r="N34" i="7"/>
  <c r="N14" i="7" s="1"/>
  <c r="O383" i="7"/>
  <c r="K417" i="7"/>
  <c r="K429" i="7"/>
  <c r="K455" i="7"/>
  <c r="K591" i="7"/>
  <c r="K614" i="7"/>
  <c r="N22" i="8"/>
  <c r="K377" i="8"/>
  <c r="K618" i="8"/>
  <c r="K617" i="8"/>
  <c r="K619" i="8"/>
  <c r="K611" i="8"/>
  <c r="K613" i="8"/>
  <c r="P70" i="9"/>
  <c r="M68" i="9"/>
  <c r="P68" i="9" s="1"/>
  <c r="P144" i="9"/>
  <c r="M142" i="9"/>
  <c r="N32" i="9"/>
  <c r="N30" i="9" s="1"/>
  <c r="L23" i="10"/>
  <c r="O23" i="10" s="1"/>
  <c r="L26" i="11"/>
  <c r="O49" i="11"/>
  <c r="P224" i="18"/>
  <c r="M222" i="18"/>
  <c r="N31" i="18"/>
  <c r="N11" i="18" s="1"/>
  <c r="N9" i="18" s="1"/>
  <c r="K266" i="6"/>
  <c r="K270" i="6"/>
  <c r="O337" i="6"/>
  <c r="K416" i="6"/>
  <c r="K419" i="6"/>
  <c r="K422" i="6"/>
  <c r="K425" i="6"/>
  <c r="K428" i="6"/>
  <c r="K431" i="6"/>
  <c r="K435" i="6"/>
  <c r="O437" i="6"/>
  <c r="K474" i="6"/>
  <c r="K533" i="6"/>
  <c r="O535" i="6"/>
  <c r="N22" i="7"/>
  <c r="L57" i="7"/>
  <c r="O57" i="7" s="1"/>
  <c r="K65" i="7"/>
  <c r="L24" i="7"/>
  <c r="O24" i="7" s="1"/>
  <c r="K138" i="7"/>
  <c r="K173" i="7"/>
  <c r="K200" i="7"/>
  <c r="K204" i="7"/>
  <c r="K213" i="7"/>
  <c r="P275" i="7"/>
  <c r="K343" i="7"/>
  <c r="O349" i="7"/>
  <c r="K370" i="7"/>
  <c r="K381" i="7"/>
  <c r="K427" i="7"/>
  <c r="O435" i="7"/>
  <c r="N33" i="7"/>
  <c r="N13" i="7" s="1"/>
  <c r="K589" i="7"/>
  <c r="K612" i="7"/>
  <c r="K630" i="7"/>
  <c r="O49" i="8"/>
  <c r="K93" i="8"/>
  <c r="K117" i="8"/>
  <c r="K213" i="8"/>
  <c r="P224" i="8"/>
  <c r="L254" i="8"/>
  <c r="O254" i="8" s="1"/>
  <c r="L275" i="8"/>
  <c r="O337" i="8"/>
  <c r="K370" i="8"/>
  <c r="K397" i="8"/>
  <c r="K401" i="8"/>
  <c r="K416" i="8"/>
  <c r="K631" i="8"/>
  <c r="M290" i="9"/>
  <c r="P290" i="9" s="1"/>
  <c r="P292" i="9"/>
  <c r="K349" i="9"/>
  <c r="O352" i="9"/>
  <c r="K402" i="9"/>
  <c r="K421" i="9"/>
  <c r="L24" i="10"/>
  <c r="O24" i="10" s="1"/>
  <c r="P333" i="10"/>
  <c r="M331" i="10"/>
  <c r="K402" i="10"/>
  <c r="K421" i="10"/>
  <c r="K424" i="10"/>
  <c r="K427" i="10"/>
  <c r="N43" i="11"/>
  <c r="N41" i="11" s="1"/>
  <c r="N26" i="11"/>
  <c r="N16" i="11" s="1"/>
  <c r="P122" i="11"/>
  <c r="M120" i="11"/>
  <c r="L294" i="11"/>
  <c r="O294" i="11" s="1"/>
  <c r="N312" i="11"/>
  <c r="N310" i="11" s="1"/>
  <c r="P333" i="11"/>
  <c r="O353" i="11"/>
  <c r="L33" i="11"/>
  <c r="O33" i="11" s="1"/>
  <c r="P314" i="12"/>
  <c r="M312" i="12"/>
  <c r="P312" i="12" s="1"/>
  <c r="N55" i="15"/>
  <c r="N53" i="15" s="1"/>
  <c r="P57" i="15"/>
  <c r="K264" i="6"/>
  <c r="L275" i="6"/>
  <c r="L294" i="6"/>
  <c r="P333" i="6"/>
  <c r="O352" i="6"/>
  <c r="K420" i="6"/>
  <c r="K423" i="6"/>
  <c r="K426" i="6"/>
  <c r="K429" i="6"/>
  <c r="K432" i="6"/>
  <c r="O435" i="6"/>
  <c r="K464" i="6"/>
  <c r="O533" i="6"/>
  <c r="K562" i="6"/>
  <c r="N31" i="6"/>
  <c r="O102" i="7"/>
  <c r="K423" i="7"/>
  <c r="N31" i="7"/>
  <c r="K597" i="7"/>
  <c r="K201" i="8"/>
  <c r="K450" i="8"/>
  <c r="O455" i="8"/>
  <c r="K343" i="9"/>
  <c r="O385" i="9"/>
  <c r="L34" i="9"/>
  <c r="O436" i="9"/>
  <c r="L31" i="9"/>
  <c r="O564" i="9"/>
  <c r="O74" i="10"/>
  <c r="L26" i="10"/>
  <c r="L144" i="10"/>
  <c r="L31" i="10"/>
  <c r="O351" i="10"/>
  <c r="L34" i="10"/>
  <c r="K397" i="10"/>
  <c r="O580" i="10"/>
  <c r="L24" i="11"/>
  <c r="O24" i="11" s="1"/>
  <c r="K349" i="11"/>
  <c r="N120" i="13"/>
  <c r="N118" i="13" s="1"/>
  <c r="N22" i="13"/>
  <c r="N26" i="6"/>
  <c r="N16" i="6" s="1"/>
  <c r="K370" i="6"/>
  <c r="K381" i="6"/>
  <c r="K396" i="6"/>
  <c r="K455" i="6"/>
  <c r="O601" i="6"/>
  <c r="K629" i="6"/>
  <c r="K635" i="6"/>
  <c r="P70" i="7"/>
  <c r="K81" i="7"/>
  <c r="K87" i="7"/>
  <c r="K92" i="7"/>
  <c r="K109" i="7"/>
  <c r="K112" i="7"/>
  <c r="K235" i="7"/>
  <c r="K270" i="7"/>
  <c r="M273" i="7"/>
  <c r="M292" i="7"/>
  <c r="N331" i="7"/>
  <c r="P331" i="7" s="1"/>
  <c r="K397" i="7"/>
  <c r="K401" i="7"/>
  <c r="O406" i="7"/>
  <c r="K421" i="7"/>
  <c r="K465" i="7"/>
  <c r="K474" i="7"/>
  <c r="K498" i="7"/>
  <c r="O533" i="7"/>
  <c r="K547" i="7"/>
  <c r="K564" i="7"/>
  <c r="O566" i="7"/>
  <c r="O580" i="7"/>
  <c r="K595" i="7"/>
  <c r="K618" i="7"/>
  <c r="K111" i="8"/>
  <c r="K164" i="8"/>
  <c r="K173" i="8"/>
  <c r="K264" i="8"/>
  <c r="K270" i="8"/>
  <c r="O354" i="8"/>
  <c r="O401" i="8"/>
  <c r="O404" i="8"/>
  <c r="K435" i="8"/>
  <c r="O437" i="8"/>
  <c r="L26" i="9"/>
  <c r="O74" i="9"/>
  <c r="P333" i="9"/>
  <c r="M331" i="9"/>
  <c r="K377" i="9"/>
  <c r="K497" i="9"/>
  <c r="P275" i="10"/>
  <c r="M273" i="10"/>
  <c r="N31" i="10"/>
  <c r="N29" i="10" s="1"/>
  <c r="O385" i="10"/>
  <c r="N34" i="10"/>
  <c r="N14" i="10" s="1"/>
  <c r="K432" i="10"/>
  <c r="O601" i="10"/>
  <c r="P70" i="11"/>
  <c r="M68" i="11"/>
  <c r="K81" i="11"/>
  <c r="K84" i="11"/>
  <c r="K164" i="11"/>
  <c r="K285" i="11"/>
  <c r="K396" i="11"/>
  <c r="N31" i="11"/>
  <c r="N29" i="11" s="1"/>
  <c r="L45" i="12"/>
  <c r="P70" i="12"/>
  <c r="M68" i="12"/>
  <c r="P68" i="12" s="1"/>
  <c r="O380" i="12"/>
  <c r="O383" i="12"/>
  <c r="L32" i="12"/>
  <c r="K398" i="12"/>
  <c r="O401" i="12"/>
  <c r="O535" i="12"/>
  <c r="K473" i="8"/>
  <c r="O601" i="8"/>
  <c r="K623" i="8"/>
  <c r="M43" i="9"/>
  <c r="K149" i="9"/>
  <c r="K219" i="9"/>
  <c r="M252" i="9"/>
  <c r="P252" i="9" s="1"/>
  <c r="K328" i="9"/>
  <c r="L333" i="9"/>
  <c r="L331" i="9" s="1"/>
  <c r="K341" i="9"/>
  <c r="K375" i="9"/>
  <c r="O383" i="9"/>
  <c r="K417" i="9"/>
  <c r="K429" i="9"/>
  <c r="K435" i="9"/>
  <c r="O437" i="9"/>
  <c r="K450" i="9"/>
  <c r="K481" i="9"/>
  <c r="K563" i="9"/>
  <c r="O584" i="9"/>
  <c r="K589" i="9"/>
  <c r="K87" i="10"/>
  <c r="M120" i="10"/>
  <c r="P120" i="10" s="1"/>
  <c r="O383" i="10"/>
  <c r="K416" i="10"/>
  <c r="O435" i="10"/>
  <c r="O533" i="10"/>
  <c r="K562" i="10"/>
  <c r="K593" i="10"/>
  <c r="K612" i="10"/>
  <c r="K615" i="10"/>
  <c r="K618" i="10"/>
  <c r="K628" i="10"/>
  <c r="K85" i="11"/>
  <c r="K133" i="11"/>
  <c r="K201" i="11"/>
  <c r="K265" i="11"/>
  <c r="M329" i="11"/>
  <c r="N26" i="12"/>
  <c r="N16" i="12" s="1"/>
  <c r="O102" i="12"/>
  <c r="N96" i="12"/>
  <c r="P96" i="12" s="1"/>
  <c r="L45" i="13"/>
  <c r="L43" i="13" s="1"/>
  <c r="L23" i="13"/>
  <c r="L23" i="14"/>
  <c r="O23" i="14" s="1"/>
  <c r="L24" i="14"/>
  <c r="O24" i="14" s="1"/>
  <c r="K474" i="8"/>
  <c r="K481" i="8"/>
  <c r="N26" i="9"/>
  <c r="N16" i="9" s="1"/>
  <c r="K432" i="11"/>
  <c r="O435" i="11"/>
  <c r="K449" i="11"/>
  <c r="K455" i="11"/>
  <c r="K465" i="11"/>
  <c r="K481" i="11"/>
  <c r="N22" i="12"/>
  <c r="L144" i="12"/>
  <c r="L142" i="12" s="1"/>
  <c r="K164" i="12"/>
  <c r="K173" i="12"/>
  <c r="N222" i="12"/>
  <c r="N220" i="12" s="1"/>
  <c r="L254" i="12"/>
  <c r="O254" i="12" s="1"/>
  <c r="L314" i="12"/>
  <c r="K370" i="12"/>
  <c r="K200" i="9"/>
  <c r="K229" i="9"/>
  <c r="M273" i="9"/>
  <c r="O349" i="9"/>
  <c r="K380" i="9"/>
  <c r="K465" i="9"/>
  <c r="O582" i="9"/>
  <c r="K597" i="9"/>
  <c r="M22" i="10"/>
  <c r="M20" i="10" s="1"/>
  <c r="M96" i="10"/>
  <c r="I367" i="10"/>
  <c r="K367" i="10" s="1"/>
  <c r="K613" i="10"/>
  <c r="K616" i="10"/>
  <c r="K619" i="10"/>
  <c r="L23" i="11"/>
  <c r="M142" i="11"/>
  <c r="K186" i="11"/>
  <c r="K229" i="11"/>
  <c r="K328" i="11"/>
  <c r="K340" i="11"/>
  <c r="O352" i="11"/>
  <c r="O584" i="11"/>
  <c r="K589" i="11"/>
  <c r="K92" i="12"/>
  <c r="P333" i="12"/>
  <c r="M331" i="12"/>
  <c r="O554" i="12"/>
  <c r="L33" i="12"/>
  <c r="O33" i="12" s="1"/>
  <c r="O459" i="8"/>
  <c r="O533" i="8"/>
  <c r="K633" i="8"/>
  <c r="M120" i="9"/>
  <c r="P120" i="9" s="1"/>
  <c r="K368" i="9"/>
  <c r="K396" i="9"/>
  <c r="O401" i="9"/>
  <c r="K423" i="9"/>
  <c r="K455" i="9"/>
  <c r="K533" i="9"/>
  <c r="O535" i="9"/>
  <c r="O568" i="9"/>
  <c r="K595" i="9"/>
  <c r="K628" i="9"/>
  <c r="K631" i="9"/>
  <c r="K634" i="9"/>
  <c r="N43" i="10"/>
  <c r="N41" i="10" s="1"/>
  <c r="N55" i="10"/>
  <c r="N53" i="10" s="1"/>
  <c r="L70" i="10"/>
  <c r="L68" i="10" s="1"/>
  <c r="K81" i="10"/>
  <c r="L98" i="10"/>
  <c r="L96" i="10" s="1"/>
  <c r="M142" i="10"/>
  <c r="K164" i="10"/>
  <c r="K173" i="10"/>
  <c r="K380" i="10"/>
  <c r="O404" i="10"/>
  <c r="K423" i="10"/>
  <c r="K426" i="10"/>
  <c r="K429" i="10"/>
  <c r="K455" i="10"/>
  <c r="O459" i="10"/>
  <c r="K474" i="10"/>
  <c r="K498" i="10"/>
  <c r="K551" i="10"/>
  <c r="O553" i="10"/>
  <c r="K580" i="10"/>
  <c r="O582" i="10"/>
  <c r="K626" i="10"/>
  <c r="K635" i="10"/>
  <c r="L34" i="11"/>
  <c r="L57" i="11"/>
  <c r="M96" i="11"/>
  <c r="P96" i="11" s="1"/>
  <c r="K149" i="11"/>
  <c r="K158" i="11"/>
  <c r="M222" i="11"/>
  <c r="M220" i="11" s="1"/>
  <c r="K264" i="11"/>
  <c r="M292" i="11"/>
  <c r="P292" i="11" s="1"/>
  <c r="O337" i="11"/>
  <c r="K350" i="11"/>
  <c r="O401" i="11"/>
  <c r="K450" i="11"/>
  <c r="K562" i="11"/>
  <c r="K249" i="12"/>
  <c r="K616" i="12"/>
  <c r="K635" i="12"/>
  <c r="K368" i="13"/>
  <c r="K377" i="13"/>
  <c r="K426" i="13"/>
  <c r="O535" i="13"/>
  <c r="K619" i="13"/>
  <c r="K612" i="13"/>
  <c r="K614" i="13"/>
  <c r="K616" i="13"/>
  <c r="K618" i="13"/>
  <c r="M96" i="15"/>
  <c r="P98" i="15"/>
  <c r="M22" i="15"/>
  <c r="M20" i="15" s="1"/>
  <c r="O404" i="11"/>
  <c r="K417" i="11"/>
  <c r="K420" i="11"/>
  <c r="K425" i="11"/>
  <c r="K428" i="11"/>
  <c r="O439" i="11"/>
  <c r="O455" i="11"/>
  <c r="K573" i="11"/>
  <c r="K580" i="11"/>
  <c r="O582" i="11"/>
  <c r="O49" i="12"/>
  <c r="K93" i="12"/>
  <c r="P98" i="12"/>
  <c r="K200" i="12"/>
  <c r="P224" i="12"/>
  <c r="K229" i="12"/>
  <c r="L294" i="12"/>
  <c r="O294" i="12" s="1"/>
  <c r="O354" i="12"/>
  <c r="K381" i="12"/>
  <c r="K396" i="12"/>
  <c r="O404" i="12"/>
  <c r="K611" i="12"/>
  <c r="K614" i="12"/>
  <c r="K630" i="12"/>
  <c r="L122" i="13"/>
  <c r="O122" i="13" s="1"/>
  <c r="L294" i="13"/>
  <c r="L292" i="13" s="1"/>
  <c r="N31" i="13"/>
  <c r="K369" i="13"/>
  <c r="I367" i="13"/>
  <c r="K367" i="13" s="1"/>
  <c r="L33" i="13"/>
  <c r="O33" i="13" s="1"/>
  <c r="K421" i="13"/>
  <c r="K455" i="13"/>
  <c r="K112" i="14"/>
  <c r="L34" i="15"/>
  <c r="K200" i="15"/>
  <c r="K371" i="15"/>
  <c r="I367" i="15"/>
  <c r="K367" i="15" s="1"/>
  <c r="N22" i="16"/>
  <c r="L57" i="16"/>
  <c r="O57" i="16" s="1"/>
  <c r="K65" i="16"/>
  <c r="K80" i="16"/>
  <c r="P333" i="17"/>
  <c r="M331" i="17"/>
  <c r="O351" i="17"/>
  <c r="L31" i="17"/>
  <c r="O354" i="17"/>
  <c r="L34" i="17"/>
  <c r="O536" i="17"/>
  <c r="L33" i="17"/>
  <c r="O33" i="17" s="1"/>
  <c r="P98" i="13"/>
  <c r="M96" i="13"/>
  <c r="P96" i="13" s="1"/>
  <c r="M140" i="13"/>
  <c r="N34" i="13"/>
  <c r="N14" i="13" s="1"/>
  <c r="N22" i="14"/>
  <c r="N96" i="14"/>
  <c r="P96" i="14" s="1"/>
  <c r="P333" i="15"/>
  <c r="M331" i="15"/>
  <c r="O351" i="15"/>
  <c r="L31" i="15"/>
  <c r="L11" i="15" s="1"/>
  <c r="P294" i="17"/>
  <c r="M292" i="17"/>
  <c r="N55" i="18"/>
  <c r="N53" i="18" s="1"/>
  <c r="O380" i="11"/>
  <c r="K401" i="11"/>
  <c r="K423" i="11"/>
  <c r="O437" i="11"/>
  <c r="O599" i="11"/>
  <c r="L24" i="12"/>
  <c r="M140" i="12"/>
  <c r="I367" i="12"/>
  <c r="K367" i="12" s="1"/>
  <c r="K380" i="12"/>
  <c r="O385" i="12"/>
  <c r="K401" i="12"/>
  <c r="K612" i="12"/>
  <c r="K618" i="12"/>
  <c r="L26" i="13"/>
  <c r="K117" i="13"/>
  <c r="P314" i="13"/>
  <c r="M312" i="13"/>
  <c r="P312" i="13" s="1"/>
  <c r="K499" i="13"/>
  <c r="K628" i="13"/>
  <c r="P70" i="14"/>
  <c r="M68" i="14"/>
  <c r="P68" i="14" s="1"/>
  <c r="O337" i="14"/>
  <c r="K350" i="14"/>
  <c r="O353" i="14"/>
  <c r="L33" i="14"/>
  <c r="O33" i="14" s="1"/>
  <c r="O380" i="14"/>
  <c r="N31" i="14"/>
  <c r="L32" i="15"/>
  <c r="K424" i="15"/>
  <c r="N31" i="16"/>
  <c r="K597" i="16"/>
  <c r="O599" i="16"/>
  <c r="K416" i="11"/>
  <c r="K424" i="11"/>
  <c r="K466" i="11"/>
  <c r="O533" i="11"/>
  <c r="K547" i="11"/>
  <c r="O597" i="11"/>
  <c r="K629" i="11"/>
  <c r="K632" i="11"/>
  <c r="K635" i="11"/>
  <c r="N43" i="12"/>
  <c r="P55" i="12"/>
  <c r="O74" i="12"/>
  <c r="K108" i="12"/>
  <c r="K111" i="12"/>
  <c r="P144" i="12"/>
  <c r="K189" i="12"/>
  <c r="P254" i="12"/>
  <c r="K265" i="12"/>
  <c r="K349" i="12"/>
  <c r="K372" i="12"/>
  <c r="K416" i="12"/>
  <c r="K419" i="12"/>
  <c r="K422" i="12"/>
  <c r="K425" i="12"/>
  <c r="K428" i="12"/>
  <c r="K431" i="12"/>
  <c r="O439" i="12"/>
  <c r="O455" i="12"/>
  <c r="O537" i="12"/>
  <c r="L57" i="13"/>
  <c r="O57" i="13" s="1"/>
  <c r="L70" i="13"/>
  <c r="O70" i="13" s="1"/>
  <c r="L144" i="13"/>
  <c r="K164" i="13"/>
  <c r="K173" i="13"/>
  <c r="M220" i="13"/>
  <c r="M271" i="13"/>
  <c r="P333" i="13"/>
  <c r="N331" i="13"/>
  <c r="P331" i="13" s="1"/>
  <c r="K613" i="13"/>
  <c r="L31" i="14"/>
  <c r="L29" i="14" s="1"/>
  <c r="N33" i="14"/>
  <c r="N13" i="14" s="1"/>
  <c r="K401" i="14"/>
  <c r="O406" i="14"/>
  <c r="K429" i="14"/>
  <c r="P314" i="16"/>
  <c r="M312" i="16"/>
  <c r="P312" i="16" s="1"/>
  <c r="O601" i="12"/>
  <c r="K631" i="12"/>
  <c r="N26" i="13"/>
  <c r="N16" i="13" s="1"/>
  <c r="P224" i="13"/>
  <c r="K340" i="13"/>
  <c r="O352" i="13"/>
  <c r="K573" i="13"/>
  <c r="K593" i="13"/>
  <c r="K634" i="13"/>
  <c r="P144" i="14"/>
  <c r="K158" i="14"/>
  <c r="K349" i="14"/>
  <c r="O354" i="14"/>
  <c r="O401" i="14"/>
  <c r="O404" i="14"/>
  <c r="P122" i="15"/>
  <c r="P98" i="16"/>
  <c r="M96" i="16"/>
  <c r="K340" i="16"/>
  <c r="K451" i="16"/>
  <c r="M220" i="17"/>
  <c r="M329" i="13"/>
  <c r="O385" i="13"/>
  <c r="K429" i="13"/>
  <c r="K547" i="13"/>
  <c r="M41" i="14"/>
  <c r="O535" i="14"/>
  <c r="L24" i="15"/>
  <c r="L57" i="15"/>
  <c r="O57" i="15" s="1"/>
  <c r="N26" i="15"/>
  <c r="N16" i="15" s="1"/>
  <c r="N68" i="15"/>
  <c r="P68" i="15" s="1"/>
  <c r="N120" i="15"/>
  <c r="N118" i="15" s="1"/>
  <c r="N34" i="15"/>
  <c r="N14" i="15" s="1"/>
  <c r="K435" i="15"/>
  <c r="K465" i="15"/>
  <c r="K474" i="15"/>
  <c r="K498" i="15"/>
  <c r="O533" i="15"/>
  <c r="K634" i="15"/>
  <c r="L26" i="16"/>
  <c r="L16" i="16" s="1"/>
  <c r="M220" i="16"/>
  <c r="K381" i="16"/>
  <c r="P275" i="18"/>
  <c r="M273" i="18"/>
  <c r="N33" i="18"/>
  <c r="N13" i="18" s="1"/>
  <c r="K369" i="18"/>
  <c r="I367" i="18"/>
  <c r="K367" i="18" s="1"/>
  <c r="K573" i="12"/>
  <c r="K597" i="12"/>
  <c r="O599" i="12"/>
  <c r="K629" i="12"/>
  <c r="K634" i="12"/>
  <c r="P122" i="13"/>
  <c r="K158" i="13"/>
  <c r="K199" i="13"/>
  <c r="L224" i="13"/>
  <c r="L222" i="13" s="1"/>
  <c r="K349" i="13"/>
  <c r="K376" i="13"/>
  <c r="K398" i="13"/>
  <c r="O437" i="13"/>
  <c r="K474" i="13"/>
  <c r="K498" i="13"/>
  <c r="O582" i="13"/>
  <c r="K589" i="13"/>
  <c r="K92" i="14"/>
  <c r="M94" i="14"/>
  <c r="O102" i="14"/>
  <c r="K108" i="14"/>
  <c r="K111" i="14"/>
  <c r="P224" i="14"/>
  <c r="L275" i="14"/>
  <c r="O275" i="14" s="1"/>
  <c r="L333" i="14"/>
  <c r="O333" i="14" s="1"/>
  <c r="K340" i="14"/>
  <c r="O352" i="14"/>
  <c r="K402" i="14"/>
  <c r="K430" i="14"/>
  <c r="K635" i="14"/>
  <c r="P254" i="15"/>
  <c r="M252" i="15"/>
  <c r="P252" i="15" s="1"/>
  <c r="P314" i="15"/>
  <c r="M312" i="15"/>
  <c r="P312" i="15" s="1"/>
  <c r="O351" i="18"/>
  <c r="L31" i="18"/>
  <c r="O354" i="18"/>
  <c r="L34" i="18"/>
  <c r="O406" i="13"/>
  <c r="O435" i="13"/>
  <c r="O537" i="13"/>
  <c r="O580" i="13"/>
  <c r="K615" i="13"/>
  <c r="P57" i="14"/>
  <c r="L26" i="14"/>
  <c r="O98" i="14"/>
  <c r="K270" i="14"/>
  <c r="K368" i="14"/>
  <c r="K397" i="14"/>
  <c r="M120" i="15"/>
  <c r="K164" i="15"/>
  <c r="K173" i="15"/>
  <c r="K376" i="15"/>
  <c r="K380" i="15"/>
  <c r="O384" i="15"/>
  <c r="L33" i="15"/>
  <c r="O33" i="15" s="1"/>
  <c r="O455" i="15"/>
  <c r="O601" i="15"/>
  <c r="K164" i="16"/>
  <c r="P254" i="16"/>
  <c r="M252" i="16"/>
  <c r="P252" i="16" s="1"/>
  <c r="L33" i="16"/>
  <c r="O33" i="16" s="1"/>
  <c r="O353" i="16"/>
  <c r="K376" i="16"/>
  <c r="L26" i="17"/>
  <c r="L16" i="17" s="1"/>
  <c r="O102" i="17"/>
  <c r="K632" i="17"/>
  <c r="K449" i="14"/>
  <c r="O459" i="14"/>
  <c r="O555" i="14"/>
  <c r="O599" i="14"/>
  <c r="K216" i="15"/>
  <c r="K285" i="15"/>
  <c r="K377" i="15"/>
  <c r="O401" i="15"/>
  <c r="O404" i="15"/>
  <c r="K420" i="15"/>
  <c r="K432" i="15"/>
  <c r="K466" i="15"/>
  <c r="K481" i="15"/>
  <c r="K499" i="15"/>
  <c r="K562" i="15"/>
  <c r="O564" i="15"/>
  <c r="K597" i="15"/>
  <c r="O599" i="15"/>
  <c r="K617" i="15"/>
  <c r="K632" i="15"/>
  <c r="L24" i="16"/>
  <c r="O24" i="16" s="1"/>
  <c r="K81" i="16"/>
  <c r="K84" i="16"/>
  <c r="N142" i="16"/>
  <c r="P142" i="16" s="1"/>
  <c r="K270" i="16"/>
  <c r="K343" i="16"/>
  <c r="K349" i="16"/>
  <c r="K401" i="16"/>
  <c r="K465" i="16"/>
  <c r="K474" i="16"/>
  <c r="K564" i="16"/>
  <c r="O568" i="16"/>
  <c r="K219" i="17"/>
  <c r="N32" i="17"/>
  <c r="N30" i="17" s="1"/>
  <c r="N33" i="17"/>
  <c r="N13" i="17" s="1"/>
  <c r="K618" i="17"/>
  <c r="K616" i="17"/>
  <c r="K614" i="17"/>
  <c r="K612" i="17"/>
  <c r="K619" i="17"/>
  <c r="K617" i="17"/>
  <c r="K615" i="17"/>
  <c r="K613" i="17"/>
  <c r="K611" i="17"/>
  <c r="K626" i="17"/>
  <c r="K624" i="17"/>
  <c r="K622" i="17"/>
  <c r="K620" i="17"/>
  <c r="K625" i="17"/>
  <c r="K623" i="17"/>
  <c r="K621" i="17"/>
  <c r="N22" i="18"/>
  <c r="N43" i="18"/>
  <c r="N41" i="18" s="1"/>
  <c r="L96" i="18"/>
  <c r="L94" i="18" s="1"/>
  <c r="M329" i="18"/>
  <c r="M66" i="16"/>
  <c r="N68" i="16"/>
  <c r="P68" i="16" s="1"/>
  <c r="K377" i="16"/>
  <c r="K398" i="16"/>
  <c r="K449" i="16"/>
  <c r="O566" i="16"/>
  <c r="O580" i="16"/>
  <c r="K633" i="16"/>
  <c r="P254" i="17"/>
  <c r="K381" i="17"/>
  <c r="O537" i="17"/>
  <c r="K564" i="17"/>
  <c r="O566" i="17"/>
  <c r="K158" i="18"/>
  <c r="L254" i="18"/>
  <c r="O254" i="18" s="1"/>
  <c r="P294" i="18"/>
  <c r="M292" i="18"/>
  <c r="K450" i="14"/>
  <c r="O455" i="14"/>
  <c r="O551" i="14"/>
  <c r="K580" i="14"/>
  <c r="K619" i="14"/>
  <c r="K634" i="14"/>
  <c r="K82" i="15"/>
  <c r="L98" i="15"/>
  <c r="O98" i="15" s="1"/>
  <c r="P224" i="15"/>
  <c r="K375" i="15"/>
  <c r="K402" i="15"/>
  <c r="K416" i="15"/>
  <c r="K428" i="15"/>
  <c r="K613" i="15"/>
  <c r="K64" i="16"/>
  <c r="L70" i="16"/>
  <c r="L68" i="16" s="1"/>
  <c r="K85" i="16"/>
  <c r="K285" i="16"/>
  <c r="L333" i="16"/>
  <c r="L331" i="16" s="1"/>
  <c r="K372" i="16"/>
  <c r="O533" i="16"/>
  <c r="K593" i="16"/>
  <c r="O601" i="16"/>
  <c r="K628" i="16"/>
  <c r="K634" i="16"/>
  <c r="M66" i="17"/>
  <c r="P66" i="17" s="1"/>
  <c r="K133" i="17"/>
  <c r="K368" i="17"/>
  <c r="K628" i="17"/>
  <c r="K634" i="17"/>
  <c r="O380" i="18"/>
  <c r="K398" i="18"/>
  <c r="O401" i="18"/>
  <c r="O404" i="18"/>
  <c r="K466" i="14"/>
  <c r="K481" i="14"/>
  <c r="K499" i="14"/>
  <c r="K562" i="14"/>
  <c r="O564" i="14"/>
  <c r="K80" i="15"/>
  <c r="P144" i="15"/>
  <c r="K149" i="15"/>
  <c r="K158" i="15"/>
  <c r="K235" i="15"/>
  <c r="O337" i="15"/>
  <c r="K341" i="15"/>
  <c r="O347" i="15"/>
  <c r="K350" i="15"/>
  <c r="K397" i="15"/>
  <c r="K426" i="15"/>
  <c r="K449" i="15"/>
  <c r="O457" i="15"/>
  <c r="K628" i="15"/>
  <c r="K158" i="16"/>
  <c r="K199" i="16"/>
  <c r="P224" i="16"/>
  <c r="M271" i="16"/>
  <c r="P275" i="16"/>
  <c r="K328" i="16"/>
  <c r="K396" i="16"/>
  <c r="N33" i="16"/>
  <c r="N13" i="16" s="1"/>
  <c r="O584" i="16"/>
  <c r="P45" i="17"/>
  <c r="M43" i="17"/>
  <c r="M41" i="17" s="1"/>
  <c r="O385" i="17"/>
  <c r="K466" i="18"/>
  <c r="K481" i="18"/>
  <c r="K499" i="18"/>
  <c r="K111" i="17"/>
  <c r="P144" i="17"/>
  <c r="K158" i="17"/>
  <c r="K189" i="17"/>
  <c r="L254" i="17"/>
  <c r="L252" i="17" s="1"/>
  <c r="L314" i="17"/>
  <c r="L312" i="17" s="1"/>
  <c r="O312" i="17" s="1"/>
  <c r="L333" i="17"/>
  <c r="K397" i="17"/>
  <c r="K416" i="17"/>
  <c r="K419" i="17"/>
  <c r="K422" i="17"/>
  <c r="K425" i="17"/>
  <c r="K428" i="17"/>
  <c r="K431" i="17"/>
  <c r="O533" i="17"/>
  <c r="O564" i="17"/>
  <c r="L32" i="18"/>
  <c r="L30" i="18" s="1"/>
  <c r="P57" i="18"/>
  <c r="N68" i="18"/>
  <c r="N66" i="18" s="1"/>
  <c r="L144" i="18"/>
  <c r="L142" i="18" s="1"/>
  <c r="K235" i="18"/>
  <c r="K306" i="18"/>
  <c r="K328" i="18"/>
  <c r="P333" i="18"/>
  <c r="K396" i="18"/>
  <c r="K402" i="18"/>
  <c r="K464" i="18"/>
  <c r="K482" i="18"/>
  <c r="K533" i="18"/>
  <c r="K580" i="18"/>
  <c r="K634" i="18"/>
  <c r="N26" i="17"/>
  <c r="N16" i="17" s="1"/>
  <c r="L70" i="17"/>
  <c r="O70" i="17" s="1"/>
  <c r="K92" i="17"/>
  <c r="K109" i="17"/>
  <c r="K417" i="17"/>
  <c r="K420" i="17"/>
  <c r="K423" i="17"/>
  <c r="K426" i="17"/>
  <c r="K429" i="17"/>
  <c r="K432" i="17"/>
  <c r="O599" i="17"/>
  <c r="L24" i="18"/>
  <c r="O24" i="18" s="1"/>
  <c r="O102" i="18"/>
  <c r="O126" i="18"/>
  <c r="P254" i="18"/>
  <c r="L294" i="18"/>
  <c r="L292" i="18" s="1"/>
  <c r="K397" i="18"/>
  <c r="K401" i="18"/>
  <c r="O406" i="18"/>
  <c r="O457" i="18"/>
  <c r="K465" i="18"/>
  <c r="K474" i="18"/>
  <c r="K498" i="18"/>
  <c r="K624" i="18"/>
  <c r="K630" i="18"/>
  <c r="K635" i="18"/>
  <c r="M142" i="17"/>
  <c r="M140" i="17" s="1"/>
  <c r="K370" i="17"/>
  <c r="K375" i="17"/>
  <c r="O380" i="17"/>
  <c r="O401" i="17"/>
  <c r="K551" i="17"/>
  <c r="O555" i="17"/>
  <c r="O597" i="17"/>
  <c r="L26" i="18"/>
  <c r="L16" i="18" s="1"/>
  <c r="L70" i="18"/>
  <c r="L68" i="18" s="1"/>
  <c r="K82" i="18"/>
  <c r="K88" i="18"/>
  <c r="K93" i="18"/>
  <c r="K285" i="18"/>
  <c r="P314" i="18"/>
  <c r="O337" i="18"/>
  <c r="K350" i="18"/>
  <c r="K368" i="18"/>
  <c r="O439" i="18"/>
  <c r="K573" i="18"/>
  <c r="K628" i="18"/>
  <c r="O42" i="1"/>
  <c r="O54" i="1"/>
  <c r="O19" i="2"/>
  <c r="P21" i="1"/>
  <c r="M11" i="1"/>
  <c r="M19" i="1"/>
  <c r="M66" i="2"/>
  <c r="P68" i="2"/>
  <c r="O221" i="5"/>
  <c r="P29" i="1"/>
  <c r="N49" i="1"/>
  <c r="N67" i="1"/>
  <c r="I83" i="1"/>
  <c r="L256" i="1"/>
  <c r="L316" i="1"/>
  <c r="M13" i="2"/>
  <c r="P13" i="2" s="1"/>
  <c r="L32" i="2"/>
  <c r="N43" i="2"/>
  <c r="P43" i="2" s="1"/>
  <c r="P70" i="2"/>
  <c r="O291" i="2"/>
  <c r="O119" i="3"/>
  <c r="K164" i="3"/>
  <c r="O333" i="3"/>
  <c r="K349" i="3"/>
  <c r="O406" i="3"/>
  <c r="K562" i="3"/>
  <c r="P95" i="4"/>
  <c r="M94" i="4"/>
  <c r="O102" i="4"/>
  <c r="L254" i="4"/>
  <c r="K425" i="4"/>
  <c r="L34" i="4"/>
  <c r="O568" i="4"/>
  <c r="K593" i="4"/>
  <c r="P29" i="5"/>
  <c r="M28" i="5"/>
  <c r="P28" i="5" s="1"/>
  <c r="L144" i="5"/>
  <c r="K285" i="5"/>
  <c r="N312" i="5"/>
  <c r="N310" i="5" s="1"/>
  <c r="L24" i="6"/>
  <c r="L45" i="6"/>
  <c r="P54" i="4"/>
  <c r="M53" i="4"/>
  <c r="N19" i="1"/>
  <c r="M70" i="1"/>
  <c r="L382" i="1"/>
  <c r="O382" i="1" s="1"/>
  <c r="I420" i="1"/>
  <c r="K420" i="1" s="1"/>
  <c r="I426" i="1"/>
  <c r="I432" i="1"/>
  <c r="N436" i="1"/>
  <c r="L455" i="1"/>
  <c r="L457" i="1"/>
  <c r="N565" i="1"/>
  <c r="I631" i="1"/>
  <c r="M19" i="2"/>
  <c r="L31" i="2"/>
  <c r="M41" i="2"/>
  <c r="P21" i="3"/>
  <c r="M11" i="3"/>
  <c r="M19" i="3"/>
  <c r="P45" i="3"/>
  <c r="N43" i="3"/>
  <c r="N41" i="3" s="1"/>
  <c r="M22" i="3"/>
  <c r="P57" i="3"/>
  <c r="M55" i="3"/>
  <c r="L34" i="3"/>
  <c r="O439" i="3"/>
  <c r="P25" i="4"/>
  <c r="M15" i="4"/>
  <c r="P15" i="4" s="1"/>
  <c r="P32" i="4"/>
  <c r="M30" i="4"/>
  <c r="L32" i="4"/>
  <c r="O566" i="4"/>
  <c r="O291" i="5"/>
  <c r="P311" i="5"/>
  <c r="O221" i="2"/>
  <c r="P23" i="5"/>
  <c r="M13" i="5"/>
  <c r="P13" i="5" s="1"/>
  <c r="L126" i="1"/>
  <c r="O126" i="1" s="1"/>
  <c r="L276" i="1"/>
  <c r="I476" i="1"/>
  <c r="K476" i="1" s="1"/>
  <c r="I482" i="1"/>
  <c r="I488" i="1"/>
  <c r="K488" i="1" s="1"/>
  <c r="M11" i="2"/>
  <c r="L23" i="2"/>
  <c r="M53" i="2"/>
  <c r="O67" i="2"/>
  <c r="M222" i="2"/>
  <c r="O42" i="3"/>
  <c r="O354" i="3"/>
  <c r="K402" i="3"/>
  <c r="O437" i="3"/>
  <c r="L32" i="3"/>
  <c r="K464" i="3"/>
  <c r="K547" i="3"/>
  <c r="M68" i="4"/>
  <c r="K267" i="4"/>
  <c r="O383" i="4"/>
  <c r="K421" i="4"/>
  <c r="L24" i="5"/>
  <c r="N22" i="5"/>
  <c r="O384" i="5"/>
  <c r="L33" i="5"/>
  <c r="O33" i="5" s="1"/>
  <c r="N33" i="5"/>
  <c r="N13" i="5" s="1"/>
  <c r="P294" i="6"/>
  <c r="M292" i="6"/>
  <c r="P330" i="3"/>
  <c r="M329" i="3"/>
  <c r="L15" i="1"/>
  <c r="O15" i="1" s="1"/>
  <c r="N221" i="1"/>
  <c r="I266" i="1"/>
  <c r="N272" i="1"/>
  <c r="I398" i="1"/>
  <c r="L535" i="1"/>
  <c r="L566" i="1"/>
  <c r="M30" i="2"/>
  <c r="P251" i="2"/>
  <c r="M250" i="2"/>
  <c r="P311" i="2"/>
  <c r="L26" i="3"/>
  <c r="L23" i="3"/>
  <c r="L70" i="3"/>
  <c r="N34" i="3"/>
  <c r="N14" i="3" s="1"/>
  <c r="K625" i="3"/>
  <c r="K623" i="3"/>
  <c r="K621" i="3"/>
  <c r="K626" i="3"/>
  <c r="K624" i="3"/>
  <c r="K622" i="3"/>
  <c r="K620" i="3"/>
  <c r="L26" i="4"/>
  <c r="O74" i="4"/>
  <c r="N22" i="4"/>
  <c r="P98" i="4"/>
  <c r="O272" i="4"/>
  <c r="L23" i="5"/>
  <c r="L57" i="5"/>
  <c r="N252" i="5"/>
  <c r="N250" i="5" s="1"/>
  <c r="M220" i="6"/>
  <c r="M41" i="3"/>
  <c r="P141" i="3"/>
  <c r="M140" i="3"/>
  <c r="M16" i="1"/>
  <c r="P16" i="1" s="1"/>
  <c r="L61" i="1"/>
  <c r="O61" i="1" s="1"/>
  <c r="L21" i="1"/>
  <c r="M14" i="1"/>
  <c r="P14" i="1" s="1"/>
  <c r="M224" i="1"/>
  <c r="M15" i="2"/>
  <c r="P15" i="2" s="1"/>
  <c r="M22" i="2"/>
  <c r="N22" i="3"/>
  <c r="M120" i="3"/>
  <c r="K340" i="3"/>
  <c r="K350" i="3"/>
  <c r="K451" i="3"/>
  <c r="M19" i="4"/>
  <c r="O67" i="4"/>
  <c r="L33" i="4"/>
  <c r="O33" i="4" s="1"/>
  <c r="O353" i="4"/>
  <c r="K380" i="4"/>
  <c r="K417" i="4"/>
  <c r="K429" i="4"/>
  <c r="K455" i="4"/>
  <c r="K597" i="4"/>
  <c r="K158" i="5"/>
  <c r="O228" i="5"/>
  <c r="L26" i="5"/>
  <c r="P251" i="5"/>
  <c r="L31" i="5"/>
  <c r="O382" i="5"/>
  <c r="K435" i="5"/>
  <c r="L32" i="5"/>
  <c r="P21" i="7"/>
  <c r="M11" i="7"/>
  <c r="M19" i="7"/>
  <c r="P95" i="2"/>
  <c r="O272" i="2"/>
  <c r="K621" i="2"/>
  <c r="K623" i="2"/>
  <c r="K625" i="2"/>
  <c r="O221" i="3"/>
  <c r="P251" i="3"/>
  <c r="O291" i="3"/>
  <c r="P311" i="3"/>
  <c r="M11" i="4"/>
  <c r="L23" i="4"/>
  <c r="O42" i="4"/>
  <c r="P57" i="4"/>
  <c r="O119" i="4"/>
  <c r="P141" i="4"/>
  <c r="P330" i="4"/>
  <c r="M15" i="5"/>
  <c r="P15" i="5" s="1"/>
  <c r="P19" i="5"/>
  <c r="M22" i="5"/>
  <c r="P54" i="5"/>
  <c r="O67" i="5"/>
  <c r="P95" i="5"/>
  <c r="O272" i="5"/>
  <c r="L23" i="6"/>
  <c r="L57" i="6"/>
  <c r="P251" i="6"/>
  <c r="M250" i="6"/>
  <c r="O384" i="6"/>
  <c r="L33" i="6"/>
  <c r="O33" i="6" s="1"/>
  <c r="N33" i="6"/>
  <c r="N13" i="6" s="1"/>
  <c r="L32" i="6"/>
  <c r="O457" i="6"/>
  <c r="K573" i="6"/>
  <c r="K632" i="6"/>
  <c r="M41" i="7"/>
  <c r="O49" i="7"/>
  <c r="M120" i="7"/>
  <c r="N142" i="7"/>
  <c r="K349" i="7"/>
  <c r="O354" i="7"/>
  <c r="O437" i="7"/>
  <c r="L32" i="7"/>
  <c r="K451" i="7"/>
  <c r="O221" i="6"/>
  <c r="O228" i="6"/>
  <c r="L26" i="6"/>
  <c r="N26" i="7"/>
  <c r="N16" i="7" s="1"/>
  <c r="P141" i="7"/>
  <c r="M140" i="7"/>
  <c r="M140" i="2"/>
  <c r="M329" i="2"/>
  <c r="M94" i="3"/>
  <c r="M22" i="4"/>
  <c r="M310" i="4"/>
  <c r="K621" i="4"/>
  <c r="K623" i="4"/>
  <c r="M55" i="5"/>
  <c r="L31" i="6"/>
  <c r="O382" i="6"/>
  <c r="K397" i="6"/>
  <c r="K630" i="6"/>
  <c r="O42" i="7"/>
  <c r="O119" i="7"/>
  <c r="K340" i="7"/>
  <c r="O352" i="7"/>
  <c r="K376" i="7"/>
  <c r="K449" i="7"/>
  <c r="K625" i="7"/>
  <c r="K623" i="7"/>
  <c r="K621" i="7"/>
  <c r="K626" i="7"/>
  <c r="K624" i="7"/>
  <c r="K622" i="7"/>
  <c r="K620" i="7"/>
  <c r="K612" i="2"/>
  <c r="K614" i="2"/>
  <c r="K616" i="2"/>
  <c r="K620" i="2"/>
  <c r="K622" i="2"/>
  <c r="K624" i="2"/>
  <c r="M30" i="3"/>
  <c r="P23" i="6"/>
  <c r="M13" i="6"/>
  <c r="P13" i="6" s="1"/>
  <c r="P29" i="6"/>
  <c r="M28" i="6"/>
  <c r="P28" i="6" s="1"/>
  <c r="P224" i="6"/>
  <c r="M22" i="6"/>
  <c r="P254" i="6"/>
  <c r="N22" i="6"/>
  <c r="P45" i="7"/>
  <c r="N43" i="7"/>
  <c r="M22" i="7"/>
  <c r="P57" i="7"/>
  <c r="M55" i="7"/>
  <c r="M15" i="3"/>
  <c r="P15" i="3" s="1"/>
  <c r="M13" i="4"/>
  <c r="P13" i="4" s="1"/>
  <c r="M11" i="5"/>
  <c r="K64" i="6"/>
  <c r="O291" i="6"/>
  <c r="P311" i="6"/>
  <c r="K328" i="6"/>
  <c r="O459" i="6"/>
  <c r="L34" i="6"/>
  <c r="K619" i="6"/>
  <c r="K628" i="6"/>
  <c r="K634" i="6"/>
  <c r="O19" i="7"/>
  <c r="K164" i="7"/>
  <c r="P330" i="7"/>
  <c r="M329" i="7"/>
  <c r="O337" i="7"/>
  <c r="K350" i="7"/>
  <c r="L34" i="7"/>
  <c r="O439" i="7"/>
  <c r="M9" i="6"/>
  <c r="P54" i="6"/>
  <c r="O67" i="6"/>
  <c r="P95" i="6"/>
  <c r="O272" i="6"/>
  <c r="K611" i="6"/>
  <c r="K613" i="6"/>
  <c r="K615" i="6"/>
  <c r="K617" i="6"/>
  <c r="K621" i="6"/>
  <c r="K623" i="6"/>
  <c r="K625" i="6"/>
  <c r="M13" i="7"/>
  <c r="P13" i="7" s="1"/>
  <c r="O221" i="7"/>
  <c r="P251" i="7"/>
  <c r="O291" i="7"/>
  <c r="P311" i="7"/>
  <c r="K611" i="5"/>
  <c r="K613" i="5"/>
  <c r="K615" i="5"/>
  <c r="K617" i="5"/>
  <c r="K621" i="5"/>
  <c r="K623" i="5"/>
  <c r="N43" i="6"/>
  <c r="P43" i="6" s="1"/>
  <c r="M55" i="6"/>
  <c r="M329" i="6"/>
  <c r="L23" i="7"/>
  <c r="M94" i="7"/>
  <c r="M19" i="6"/>
  <c r="K620" i="6"/>
  <c r="K622" i="6"/>
  <c r="K624" i="6"/>
  <c r="M30" i="7"/>
  <c r="M66" i="7"/>
  <c r="P11" i="8"/>
  <c r="M9" i="8"/>
  <c r="M15" i="7"/>
  <c r="P15" i="7" s="1"/>
  <c r="K611" i="7"/>
  <c r="K613" i="7"/>
  <c r="K615" i="7"/>
  <c r="K617" i="7"/>
  <c r="M28" i="9"/>
  <c r="P28" i="9" s="1"/>
  <c r="P29" i="9"/>
  <c r="P19" i="8"/>
  <c r="M29" i="8"/>
  <c r="M220" i="8"/>
  <c r="O228" i="8"/>
  <c r="M19" i="9"/>
  <c r="K612" i="9"/>
  <c r="K614" i="9"/>
  <c r="K616" i="9"/>
  <c r="K618" i="9"/>
  <c r="K620" i="9"/>
  <c r="K622" i="9"/>
  <c r="K624" i="9"/>
  <c r="K626" i="9"/>
  <c r="L15" i="10"/>
  <c r="O15" i="10" s="1"/>
  <c r="M16" i="10"/>
  <c r="P16" i="10" s="1"/>
  <c r="M11" i="9"/>
  <c r="N19" i="9"/>
  <c r="M53" i="9"/>
  <c r="O102" i="9"/>
  <c r="M9" i="10"/>
  <c r="M29" i="10"/>
  <c r="P29" i="11"/>
  <c r="K612" i="8"/>
  <c r="K614" i="8"/>
  <c r="K616" i="8"/>
  <c r="K620" i="8"/>
  <c r="K622" i="8"/>
  <c r="K624" i="8"/>
  <c r="L15" i="9"/>
  <c r="O15" i="9" s="1"/>
  <c r="M16" i="9"/>
  <c r="P16" i="9" s="1"/>
  <c r="M14" i="10"/>
  <c r="P14" i="10" s="1"/>
  <c r="N22" i="10"/>
  <c r="M41" i="10"/>
  <c r="O19" i="12"/>
  <c r="K611" i="9"/>
  <c r="K613" i="9"/>
  <c r="K615" i="9"/>
  <c r="K617" i="9"/>
  <c r="K621" i="9"/>
  <c r="K623" i="9"/>
  <c r="L19" i="10"/>
  <c r="L45" i="10"/>
  <c r="P45" i="10"/>
  <c r="O228" i="11"/>
  <c r="O298" i="11"/>
  <c r="M19" i="12"/>
  <c r="M41" i="12"/>
  <c r="P45" i="12"/>
  <c r="O126" i="12"/>
  <c r="O294" i="14"/>
  <c r="K621" i="10"/>
  <c r="K623" i="10"/>
  <c r="K625" i="10"/>
  <c r="O221" i="11"/>
  <c r="P251" i="11"/>
  <c r="O291" i="11"/>
  <c r="P311" i="11"/>
  <c r="M11" i="12"/>
  <c r="L23" i="12"/>
  <c r="O42" i="12"/>
  <c r="M53" i="12"/>
  <c r="P53" i="12" s="1"/>
  <c r="P57" i="12"/>
  <c r="M94" i="12"/>
  <c r="O119" i="12"/>
  <c r="P141" i="12"/>
  <c r="M222" i="12"/>
  <c r="K612" i="11"/>
  <c r="K614" i="11"/>
  <c r="K616" i="11"/>
  <c r="K618" i="11"/>
  <c r="K620" i="11"/>
  <c r="K622" i="11"/>
  <c r="K624" i="11"/>
  <c r="K626" i="11"/>
  <c r="M30" i="12"/>
  <c r="M28" i="13"/>
  <c r="P28" i="13" s="1"/>
  <c r="P29" i="13"/>
  <c r="M55" i="10"/>
  <c r="N19" i="11"/>
  <c r="M15" i="12"/>
  <c r="P15" i="12" s="1"/>
  <c r="M22" i="12"/>
  <c r="L68" i="14"/>
  <c r="O68" i="14" s="1"/>
  <c r="K620" i="10"/>
  <c r="K622" i="10"/>
  <c r="K624" i="10"/>
  <c r="M30" i="11"/>
  <c r="P30" i="11" s="1"/>
  <c r="M15" i="11"/>
  <c r="P15" i="11" s="1"/>
  <c r="K611" i="11"/>
  <c r="K613" i="11"/>
  <c r="K615" i="11"/>
  <c r="K617" i="11"/>
  <c r="K621" i="11"/>
  <c r="K623" i="11"/>
  <c r="M19" i="13"/>
  <c r="M41" i="13"/>
  <c r="P45" i="13"/>
  <c r="M118" i="13"/>
  <c r="K620" i="13"/>
  <c r="K622" i="13"/>
  <c r="K624" i="13"/>
  <c r="K626" i="13"/>
  <c r="M30" i="14"/>
  <c r="O74" i="14"/>
  <c r="P98" i="14"/>
  <c r="M312" i="14"/>
  <c r="O291" i="12"/>
  <c r="P311" i="12"/>
  <c r="M11" i="13"/>
  <c r="O42" i="13"/>
  <c r="M53" i="13"/>
  <c r="P57" i="13"/>
  <c r="O119" i="13"/>
  <c r="P141" i="13"/>
  <c r="P330" i="13"/>
  <c r="M15" i="14"/>
  <c r="P15" i="14" s="1"/>
  <c r="P19" i="14"/>
  <c r="M22" i="14"/>
  <c r="P54" i="14"/>
  <c r="L57" i="14"/>
  <c r="O67" i="14"/>
  <c r="P95" i="14"/>
  <c r="K109" i="14"/>
  <c r="K345" i="14"/>
  <c r="K375" i="14"/>
  <c r="K620" i="12"/>
  <c r="K622" i="12"/>
  <c r="K624" i="12"/>
  <c r="K626" i="12"/>
  <c r="O318" i="14"/>
  <c r="M15" i="13"/>
  <c r="P15" i="13" s="1"/>
  <c r="M22" i="13"/>
  <c r="K617" i="13"/>
  <c r="K621" i="13"/>
  <c r="K623" i="13"/>
  <c r="M13" i="14"/>
  <c r="P13" i="14" s="1"/>
  <c r="M55" i="14"/>
  <c r="M140" i="14"/>
  <c r="N142" i="14"/>
  <c r="O311" i="14"/>
  <c r="K343" i="14"/>
  <c r="O349" i="14"/>
  <c r="I367" i="14"/>
  <c r="K367" i="14" s="1"/>
  <c r="K613" i="12"/>
  <c r="K615" i="12"/>
  <c r="K617" i="12"/>
  <c r="K621" i="12"/>
  <c r="K623" i="12"/>
  <c r="M13" i="13"/>
  <c r="P13" i="13" s="1"/>
  <c r="M11" i="14"/>
  <c r="K113" i="14"/>
  <c r="K164" i="14"/>
  <c r="K235" i="14"/>
  <c r="O251" i="14"/>
  <c r="M271" i="14"/>
  <c r="K341" i="14"/>
  <c r="O347" i="14"/>
  <c r="K377" i="14"/>
  <c r="M29" i="15"/>
  <c r="K612" i="14"/>
  <c r="K614" i="14"/>
  <c r="K616" i="14"/>
  <c r="K618" i="14"/>
  <c r="P24" i="15"/>
  <c r="M14" i="15"/>
  <c r="P14" i="15" s="1"/>
  <c r="L23" i="15"/>
  <c r="K611" i="14"/>
  <c r="K613" i="14"/>
  <c r="K615" i="14"/>
  <c r="K617" i="14"/>
  <c r="O21" i="15"/>
  <c r="L19" i="15"/>
  <c r="P67" i="15"/>
  <c r="M66" i="15"/>
  <c r="M9" i="15"/>
  <c r="P45" i="15"/>
  <c r="M43" i="15"/>
  <c r="M53" i="15"/>
  <c r="N22" i="15"/>
  <c r="P70" i="15"/>
  <c r="O437" i="16"/>
  <c r="L32" i="16"/>
  <c r="M271" i="15"/>
  <c r="O279" i="15"/>
  <c r="L23" i="16"/>
  <c r="N32" i="16"/>
  <c r="N30" i="16" s="1"/>
  <c r="P34" i="16"/>
  <c r="M22" i="16"/>
  <c r="M55" i="16"/>
  <c r="M120" i="16"/>
  <c r="M19" i="17"/>
  <c r="M11" i="17"/>
  <c r="P21" i="17"/>
  <c r="O258" i="15"/>
  <c r="O318" i="15"/>
  <c r="K625" i="15"/>
  <c r="K623" i="15"/>
  <c r="K626" i="15"/>
  <c r="P11" i="16"/>
  <c r="P23" i="16"/>
  <c r="M13" i="16"/>
  <c r="P13" i="16" s="1"/>
  <c r="P141" i="16"/>
  <c r="M140" i="16"/>
  <c r="P330" i="16"/>
  <c r="M329" i="16"/>
  <c r="L26" i="15"/>
  <c r="M220" i="15"/>
  <c r="K624" i="15"/>
  <c r="N26" i="16"/>
  <c r="N16" i="16" s="1"/>
  <c r="O49" i="16"/>
  <c r="P57" i="16"/>
  <c r="P70" i="16"/>
  <c r="O119" i="16"/>
  <c r="M28" i="17"/>
  <c r="P28" i="17" s="1"/>
  <c r="M140" i="15"/>
  <c r="K620" i="15"/>
  <c r="K622" i="15"/>
  <c r="O354" i="16"/>
  <c r="N34" i="16"/>
  <c r="N14" i="16" s="1"/>
  <c r="L34" i="16"/>
  <c r="O439" i="16"/>
  <c r="O598" i="16"/>
  <c r="L31" i="16"/>
  <c r="P45" i="16"/>
  <c r="N43" i="16"/>
  <c r="N41" i="16" s="1"/>
  <c r="P41" i="16" s="1"/>
  <c r="O311" i="17"/>
  <c r="O404" i="17"/>
  <c r="L32" i="17"/>
  <c r="O221" i="16"/>
  <c r="P251" i="16"/>
  <c r="O291" i="16"/>
  <c r="P311" i="16"/>
  <c r="O126" i="17"/>
  <c r="M252" i="17"/>
  <c r="K632" i="16"/>
  <c r="O49" i="17"/>
  <c r="L24" i="17"/>
  <c r="K113" i="17"/>
  <c r="P272" i="17"/>
  <c r="P31" i="17"/>
  <c r="M55" i="17"/>
  <c r="M22" i="17"/>
  <c r="M312" i="17"/>
  <c r="K619" i="16"/>
  <c r="L23" i="17"/>
  <c r="O251" i="17"/>
  <c r="M15" i="16"/>
  <c r="P15" i="16" s="1"/>
  <c r="N43" i="17"/>
  <c r="P57" i="17"/>
  <c r="K93" i="17"/>
  <c r="M118" i="17"/>
  <c r="K612" i="16"/>
  <c r="K614" i="16"/>
  <c r="K616" i="16"/>
  <c r="K618" i="16"/>
  <c r="K620" i="16"/>
  <c r="K622" i="16"/>
  <c r="K624" i="16"/>
  <c r="K626" i="16"/>
  <c r="O347" i="17"/>
  <c r="K350" i="17"/>
  <c r="K465" i="17"/>
  <c r="K474" i="17"/>
  <c r="K498" i="17"/>
  <c r="K547" i="17"/>
  <c r="L45" i="18"/>
  <c r="L23" i="18"/>
  <c r="P54" i="18"/>
  <c r="M53" i="18"/>
  <c r="P312" i="18"/>
  <c r="M310" i="18"/>
  <c r="K377" i="17"/>
  <c r="K402" i="17"/>
  <c r="K562" i="17"/>
  <c r="O258" i="18"/>
  <c r="O438" i="18"/>
  <c r="L33" i="18"/>
  <c r="O33" i="18" s="1"/>
  <c r="K611" i="16"/>
  <c r="K613" i="16"/>
  <c r="K615" i="16"/>
  <c r="K617" i="16"/>
  <c r="K621" i="16"/>
  <c r="K623" i="16"/>
  <c r="L19" i="17"/>
  <c r="P23" i="18"/>
  <c r="M28" i="18"/>
  <c r="P28" i="18" s="1"/>
  <c r="N26" i="18"/>
  <c r="N16" i="18" s="1"/>
  <c r="O311" i="18"/>
  <c r="K343" i="17"/>
  <c r="O349" i="17"/>
  <c r="O352" i="17"/>
  <c r="K450" i="17"/>
  <c r="K464" i="17"/>
  <c r="K473" i="17"/>
  <c r="K482" i="17"/>
  <c r="K497" i="17"/>
  <c r="O19" i="18"/>
  <c r="P45" i="18"/>
  <c r="M43" i="18"/>
  <c r="M22" i="18"/>
  <c r="M250" i="18"/>
  <c r="N96" i="18"/>
  <c r="K109" i="18"/>
  <c r="K112" i="18"/>
  <c r="O318" i="18"/>
  <c r="K473" i="18"/>
  <c r="K497" i="18"/>
  <c r="K618" i="18"/>
  <c r="K616" i="18"/>
  <c r="K614" i="18"/>
  <c r="K612" i="18"/>
  <c r="K619" i="18"/>
  <c r="K617" i="18"/>
  <c r="K615" i="18"/>
  <c r="K613" i="18"/>
  <c r="K611" i="18"/>
  <c r="M15" i="18"/>
  <c r="O251" i="18"/>
  <c r="P272" i="18"/>
  <c r="K92" i="18"/>
  <c r="K149" i="18"/>
  <c r="K289" i="18"/>
  <c r="K341" i="18"/>
  <c r="O347" i="18"/>
  <c r="K377" i="18"/>
  <c r="K450" i="18"/>
  <c r="K563" i="18"/>
  <c r="O568" i="18"/>
  <c r="K589" i="1" l="1"/>
  <c r="P273" i="3"/>
  <c r="L120" i="18"/>
  <c r="O120" i="18" s="1"/>
  <c r="O122" i="8"/>
  <c r="N11" i="15"/>
  <c r="N9" i="15" s="1"/>
  <c r="K341" i="1"/>
  <c r="K424" i="1"/>
  <c r="K381" i="1"/>
  <c r="K473" i="1"/>
  <c r="P30" i="16"/>
  <c r="M28" i="16"/>
  <c r="P28" i="16" s="1"/>
  <c r="K417" i="1"/>
  <c r="K547" i="1"/>
  <c r="O294" i="15"/>
  <c r="O564" i="1"/>
  <c r="L252" i="5"/>
  <c r="O252" i="5" s="1"/>
  <c r="L222" i="4"/>
  <c r="O222" i="4" s="1"/>
  <c r="P120" i="17"/>
  <c r="K176" i="1"/>
  <c r="P292" i="14"/>
  <c r="L312" i="6"/>
  <c r="L331" i="8"/>
  <c r="L329" i="8" s="1"/>
  <c r="O329" i="8" s="1"/>
  <c r="O74" i="1"/>
  <c r="K377" i="1"/>
  <c r="K86" i="1"/>
  <c r="K380" i="1"/>
  <c r="O26" i="14"/>
  <c r="K149" i="1"/>
  <c r="L252" i="13"/>
  <c r="L250" i="13" s="1"/>
  <c r="O250" i="13" s="1"/>
  <c r="M310" i="5"/>
  <c r="P310" i="5" s="1"/>
  <c r="K591" i="1"/>
  <c r="K464" i="1"/>
  <c r="P310" i="18"/>
  <c r="K235" i="1"/>
  <c r="L68" i="17"/>
  <c r="O68" i="17" s="1"/>
  <c r="L312" i="16"/>
  <c r="O312" i="16" s="1"/>
  <c r="L120" i="5"/>
  <c r="O120" i="5" s="1"/>
  <c r="O333" i="11"/>
  <c r="L312" i="7"/>
  <c r="O312" i="7" s="1"/>
  <c r="K306" i="1"/>
  <c r="M310" i="9"/>
  <c r="P310" i="9" s="1"/>
  <c r="O551" i="1"/>
  <c r="K418" i="1"/>
  <c r="K85" i="1"/>
  <c r="K551" i="1"/>
  <c r="O333" i="5"/>
  <c r="L273" i="17"/>
  <c r="O273" i="17" s="1"/>
  <c r="O275" i="13"/>
  <c r="O32" i="12"/>
  <c r="N12" i="12"/>
  <c r="N10" i="12" s="1"/>
  <c r="K270" i="1"/>
  <c r="O294" i="13"/>
  <c r="O34" i="7"/>
  <c r="N11" i="8"/>
  <c r="N9" i="8" s="1"/>
  <c r="O98" i="17"/>
  <c r="O354" i="1"/>
  <c r="P53" i="8"/>
  <c r="O34" i="6"/>
  <c r="L55" i="7"/>
  <c r="O55" i="7" s="1"/>
  <c r="P331" i="12"/>
  <c r="N11" i="5"/>
  <c r="N9" i="5" s="1"/>
  <c r="K219" i="1"/>
  <c r="P331" i="14"/>
  <c r="L312" i="18"/>
  <c r="O312" i="18" s="1"/>
  <c r="O314" i="17"/>
  <c r="L55" i="8"/>
  <c r="O55" i="8" s="1"/>
  <c r="K397" i="1"/>
  <c r="L222" i="9"/>
  <c r="O222" i="9" s="1"/>
  <c r="K628" i="1"/>
  <c r="L312" i="14"/>
  <c r="O312" i="14" s="1"/>
  <c r="O57" i="17"/>
  <c r="O45" i="7"/>
  <c r="M250" i="5"/>
  <c r="P250" i="5" s="1"/>
  <c r="O43" i="7"/>
  <c r="K449" i="1"/>
  <c r="K109" i="1"/>
  <c r="K215" i="1"/>
  <c r="P222" i="17"/>
  <c r="O383" i="1"/>
  <c r="P144" i="1"/>
  <c r="P220" i="17"/>
  <c r="P43" i="13"/>
  <c r="L96" i="7"/>
  <c r="O96" i="7" s="1"/>
  <c r="N28" i="11"/>
  <c r="L273" i="16"/>
  <c r="O273" i="16" s="1"/>
  <c r="N140" i="13"/>
  <c r="P140" i="13" s="1"/>
  <c r="L142" i="14"/>
  <c r="O142" i="14" s="1"/>
  <c r="L96" i="4"/>
  <c r="L94" i="4" s="1"/>
  <c r="L292" i="2"/>
  <c r="O292" i="2" s="1"/>
  <c r="O57" i="18"/>
  <c r="K633" i="1"/>
  <c r="L312" i="10"/>
  <c r="L310" i="10" s="1"/>
  <c r="O310" i="10" s="1"/>
  <c r="K632" i="1"/>
  <c r="K229" i="1"/>
  <c r="K112" i="1"/>
  <c r="N271" i="15"/>
  <c r="P271" i="15" s="1"/>
  <c r="O224" i="13"/>
  <c r="O273" i="7"/>
  <c r="O275" i="10"/>
  <c r="M290" i="8"/>
  <c r="P290" i="8" s="1"/>
  <c r="L14" i="10"/>
  <c r="O14" i="10" s="1"/>
  <c r="L292" i="9"/>
  <c r="O292" i="9" s="1"/>
  <c r="L331" i="12"/>
  <c r="L329" i="12" s="1"/>
  <c r="O329" i="12" s="1"/>
  <c r="O70" i="6"/>
  <c r="P140" i="15"/>
  <c r="O275" i="7"/>
  <c r="K482" i="1"/>
  <c r="M290" i="10"/>
  <c r="P290" i="10" s="1"/>
  <c r="P142" i="4"/>
  <c r="O144" i="11"/>
  <c r="P142" i="6"/>
  <c r="K82" i="1"/>
  <c r="K117" i="1"/>
  <c r="P142" i="15"/>
  <c r="O349" i="1"/>
  <c r="K328" i="1"/>
  <c r="K343" i="1"/>
  <c r="M94" i="9"/>
  <c r="P94" i="9" s="1"/>
  <c r="P55" i="7"/>
  <c r="M220" i="10"/>
  <c r="P220" i="10" s="1"/>
  <c r="O43" i="13"/>
  <c r="P331" i="11"/>
  <c r="O331" i="15"/>
  <c r="P220" i="15"/>
  <c r="M310" i="12"/>
  <c r="P310" i="12" s="1"/>
  <c r="P68" i="7"/>
  <c r="L292" i="8"/>
  <c r="L290" i="8" s="1"/>
  <c r="O290" i="8" s="1"/>
  <c r="L331" i="4"/>
  <c r="O331" i="4" s="1"/>
  <c r="K213" i="1"/>
  <c r="O533" i="1"/>
  <c r="O568" i="1"/>
  <c r="K466" i="1"/>
  <c r="P273" i="14"/>
  <c r="L331" i="7"/>
  <c r="L329" i="7" s="1"/>
  <c r="N66" i="3"/>
  <c r="P66" i="3" s="1"/>
  <c r="N66" i="15"/>
  <c r="K398" i="1"/>
  <c r="P331" i="10"/>
  <c r="L312" i="5"/>
  <c r="L310" i="5" s="1"/>
  <c r="O310" i="5" s="1"/>
  <c r="M66" i="5"/>
  <c r="P66" i="5" s="1"/>
  <c r="K266" i="1"/>
  <c r="P222" i="15"/>
  <c r="K416" i="1"/>
  <c r="K401" i="1"/>
  <c r="O224" i="7"/>
  <c r="L222" i="5"/>
  <c r="O222" i="5" s="1"/>
  <c r="L68" i="4"/>
  <c r="L66" i="4" s="1"/>
  <c r="O66" i="4" s="1"/>
  <c r="M118" i="18"/>
  <c r="P118" i="18" s="1"/>
  <c r="N220" i="3"/>
  <c r="P220" i="3" s="1"/>
  <c r="L273" i="12"/>
  <c r="L271" i="12" s="1"/>
  <c r="O271" i="12" s="1"/>
  <c r="K431" i="1"/>
  <c r="O555" i="1"/>
  <c r="K497" i="1"/>
  <c r="O275" i="3"/>
  <c r="N271" i="13"/>
  <c r="P271" i="13" s="1"/>
  <c r="P222" i="8"/>
  <c r="O294" i="16"/>
  <c r="L331" i="13"/>
  <c r="O331" i="13" s="1"/>
  <c r="L68" i="9"/>
  <c r="P142" i="2"/>
  <c r="P122" i="1"/>
  <c r="P142" i="8"/>
  <c r="P275" i="1"/>
  <c r="K481" i="1"/>
  <c r="K595" i="1"/>
  <c r="K450" i="1"/>
  <c r="K629" i="1"/>
  <c r="K264" i="1"/>
  <c r="K575" i="1"/>
  <c r="O57" i="12"/>
  <c r="P222" i="9"/>
  <c r="O597" i="1"/>
  <c r="O580" i="1"/>
  <c r="N329" i="13"/>
  <c r="P329" i="13" s="1"/>
  <c r="P222" i="6"/>
  <c r="P329" i="11"/>
  <c r="K340" i="1"/>
  <c r="P220" i="9"/>
  <c r="K65" i="1"/>
  <c r="O68" i="6"/>
  <c r="K285" i="1"/>
  <c r="K289" i="1"/>
  <c r="K108" i="1"/>
  <c r="O142" i="7"/>
  <c r="P142" i="5"/>
  <c r="N271" i="6"/>
  <c r="P271" i="6" s="1"/>
  <c r="P252" i="10"/>
  <c r="K419" i="1"/>
  <c r="P292" i="13"/>
  <c r="O273" i="5"/>
  <c r="K158" i="1"/>
  <c r="K597" i="1"/>
  <c r="K249" i="1"/>
  <c r="K372" i="1"/>
  <c r="K421" i="1"/>
  <c r="O352" i="1"/>
  <c r="N53" i="9"/>
  <c r="N37" i="9" s="1"/>
  <c r="L142" i="17"/>
  <c r="O142" i="17" s="1"/>
  <c r="L55" i="15"/>
  <c r="O55" i="15" s="1"/>
  <c r="M140" i="8"/>
  <c r="P140" i="8" s="1"/>
  <c r="N20" i="9"/>
  <c r="P20" i="9" s="1"/>
  <c r="P252" i="6"/>
  <c r="K432" i="1"/>
  <c r="O437" i="1"/>
  <c r="K423" i="1"/>
  <c r="P55" i="5"/>
  <c r="O122" i="3"/>
  <c r="O98" i="12"/>
  <c r="K634" i="1"/>
  <c r="L120" i="13"/>
  <c r="O120" i="13" s="1"/>
  <c r="L222" i="12"/>
  <c r="L220" i="12" s="1"/>
  <c r="O220" i="12" s="1"/>
  <c r="K429" i="1"/>
  <c r="K427" i="1"/>
  <c r="K623" i="1"/>
  <c r="L118" i="18"/>
  <c r="O118" i="18" s="1"/>
  <c r="L252" i="9"/>
  <c r="O252" i="9" s="1"/>
  <c r="L96" i="13"/>
  <c r="O96" i="13" s="1"/>
  <c r="K402" i="1"/>
  <c r="O222" i="7"/>
  <c r="L273" i="11"/>
  <c r="L271" i="11" s="1"/>
  <c r="O271" i="11" s="1"/>
  <c r="L222" i="6"/>
  <c r="O222" i="6" s="1"/>
  <c r="O122" i="9"/>
  <c r="P120" i="13"/>
  <c r="L252" i="10"/>
  <c r="L250" i="10" s="1"/>
  <c r="O250" i="10" s="1"/>
  <c r="O439" i="1"/>
  <c r="K422" i="1"/>
  <c r="O385" i="1"/>
  <c r="K533" i="1"/>
  <c r="O144" i="12"/>
  <c r="L43" i="5"/>
  <c r="L41" i="5" s="1"/>
  <c r="O45" i="9"/>
  <c r="L55" i="10"/>
  <c r="O55" i="10" s="1"/>
  <c r="P252" i="8"/>
  <c r="O32" i="11"/>
  <c r="M250" i="13"/>
  <c r="P250" i="13" s="1"/>
  <c r="N329" i="16"/>
  <c r="P329" i="16" s="1"/>
  <c r="L142" i="6"/>
  <c r="O142" i="6" s="1"/>
  <c r="M290" i="5"/>
  <c r="P290" i="5" s="1"/>
  <c r="O122" i="7"/>
  <c r="L222" i="15"/>
  <c r="N12" i="7"/>
  <c r="N10" i="7" s="1"/>
  <c r="N28" i="8"/>
  <c r="K201" i="1"/>
  <c r="N28" i="12"/>
  <c r="K349" i="1"/>
  <c r="K81" i="1"/>
  <c r="K428" i="1"/>
  <c r="M290" i="15"/>
  <c r="P290" i="15" s="1"/>
  <c r="L16" i="14"/>
  <c r="O16" i="14" s="1"/>
  <c r="L292" i="12"/>
  <c r="O292" i="12" s="1"/>
  <c r="K83" i="1"/>
  <c r="P250" i="3"/>
  <c r="K304" i="1"/>
  <c r="N94" i="4"/>
  <c r="P94" i="4" s="1"/>
  <c r="O275" i="4"/>
  <c r="L252" i="18"/>
  <c r="O252" i="18" s="1"/>
  <c r="P118" i="17"/>
  <c r="M12" i="15"/>
  <c r="M10" i="15" s="1"/>
  <c r="M8" i="15" s="1"/>
  <c r="M94" i="13"/>
  <c r="P94" i="13" s="1"/>
  <c r="L312" i="9"/>
  <c r="O312" i="9" s="1"/>
  <c r="P222" i="13"/>
  <c r="N11" i="12"/>
  <c r="N9" i="12" s="1"/>
  <c r="L252" i="6"/>
  <c r="L250" i="6" s="1"/>
  <c r="O250" i="6" s="1"/>
  <c r="K189" i="1"/>
  <c r="L96" i="15"/>
  <c r="O96" i="15" s="1"/>
  <c r="O45" i="11"/>
  <c r="O314" i="8"/>
  <c r="M250" i="16"/>
  <c r="P250" i="16" s="1"/>
  <c r="O122" i="15"/>
  <c r="N94" i="12"/>
  <c r="P94" i="12" s="1"/>
  <c r="P43" i="8"/>
  <c r="P252" i="3"/>
  <c r="K630" i="1"/>
  <c r="N55" i="1"/>
  <c r="N53" i="1" s="1"/>
  <c r="K376" i="1"/>
  <c r="L96" i="5"/>
  <c r="O96" i="5" s="1"/>
  <c r="K185" i="1"/>
  <c r="P254" i="1"/>
  <c r="K324" i="1"/>
  <c r="K133" i="1"/>
  <c r="O380" i="1"/>
  <c r="L43" i="14"/>
  <c r="L41" i="14" s="1"/>
  <c r="O41" i="14" s="1"/>
  <c r="O535" i="1"/>
  <c r="L43" i="15"/>
  <c r="L41" i="15" s="1"/>
  <c r="O41" i="15" s="1"/>
  <c r="K624" i="1"/>
  <c r="N329" i="18"/>
  <c r="P329" i="18" s="1"/>
  <c r="L252" i="11"/>
  <c r="O252" i="11" s="1"/>
  <c r="P252" i="11"/>
  <c r="K216" i="1"/>
  <c r="K564" i="1"/>
  <c r="K138" i="1"/>
  <c r="P333" i="1"/>
  <c r="K93" i="1"/>
  <c r="O401" i="1"/>
  <c r="O584" i="1"/>
  <c r="K631" i="1"/>
  <c r="M118" i="10"/>
  <c r="P118" i="10" s="1"/>
  <c r="L30" i="11"/>
  <c r="O30" i="11" s="1"/>
  <c r="N140" i="12"/>
  <c r="P140" i="12" s="1"/>
  <c r="K620" i="1"/>
  <c r="P273" i="7"/>
  <c r="L273" i="2"/>
  <c r="O102" i="1"/>
  <c r="O254" i="3"/>
  <c r="K498" i="1"/>
  <c r="O30" i="13"/>
  <c r="K113" i="1"/>
  <c r="O222" i="3"/>
  <c r="L220" i="3"/>
  <c r="O273" i="15"/>
  <c r="L271" i="15"/>
  <c r="P224" i="1"/>
  <c r="N12" i="14"/>
  <c r="N10" i="14" s="1"/>
  <c r="P329" i="14"/>
  <c r="N12" i="13"/>
  <c r="N10" i="13" s="1"/>
  <c r="O43" i="11"/>
  <c r="L222" i="10"/>
  <c r="O222" i="10" s="1"/>
  <c r="K375" i="1"/>
  <c r="P292" i="16"/>
  <c r="O120" i="16"/>
  <c r="O294" i="18"/>
  <c r="L331" i="14"/>
  <c r="O331" i="14" s="1"/>
  <c r="O224" i="14"/>
  <c r="O98" i="8"/>
  <c r="O45" i="16"/>
  <c r="O333" i="15"/>
  <c r="P43" i="14"/>
  <c r="O96" i="17"/>
  <c r="O314" i="11"/>
  <c r="K164" i="1"/>
  <c r="I367" i="1"/>
  <c r="K367" i="1" s="1"/>
  <c r="N94" i="17"/>
  <c r="P94" i="17" s="1"/>
  <c r="K425" i="1"/>
  <c r="O459" i="1"/>
  <c r="P331" i="6"/>
  <c r="L331" i="18"/>
  <c r="O331" i="18" s="1"/>
  <c r="L252" i="16"/>
  <c r="O252" i="16" s="1"/>
  <c r="O275" i="15"/>
  <c r="N94" i="14"/>
  <c r="P94" i="14" s="1"/>
  <c r="P250" i="18"/>
  <c r="P252" i="18"/>
  <c r="L120" i="17"/>
  <c r="O120" i="17" s="1"/>
  <c r="O70" i="15"/>
  <c r="P271" i="14"/>
  <c r="M66" i="14"/>
  <c r="P66" i="14" s="1"/>
  <c r="L14" i="11"/>
  <c r="O14" i="11" s="1"/>
  <c r="L43" i="8"/>
  <c r="O43" i="8" s="1"/>
  <c r="P66" i="7"/>
  <c r="L120" i="6"/>
  <c r="O120" i="6" s="1"/>
  <c r="O144" i="7"/>
  <c r="O70" i="7"/>
  <c r="L23" i="1"/>
  <c r="O23" i="1" s="1"/>
  <c r="K426" i="1"/>
  <c r="L312" i="4"/>
  <c r="O312" i="4" s="1"/>
  <c r="P140" i="18"/>
  <c r="L312" i="15"/>
  <c r="O312" i="15" s="1"/>
  <c r="O34" i="18"/>
  <c r="O32" i="13"/>
  <c r="O333" i="10"/>
  <c r="L96" i="6"/>
  <c r="L94" i="6" s="1"/>
  <c r="O94" i="6" s="1"/>
  <c r="K618" i="1"/>
  <c r="N28" i="15"/>
  <c r="O55" i="9"/>
  <c r="O224" i="3"/>
  <c r="O435" i="1"/>
  <c r="O553" i="1"/>
  <c r="O118" i="15"/>
  <c r="K499" i="1"/>
  <c r="K265" i="1"/>
  <c r="K350" i="1"/>
  <c r="K625" i="1"/>
  <c r="L142" i="16"/>
  <c r="O142" i="16" s="1"/>
  <c r="L22" i="7"/>
  <c r="L12" i="7" s="1"/>
  <c r="M250" i="11"/>
  <c r="P250" i="11" s="1"/>
  <c r="N28" i="4"/>
  <c r="K84" i="1"/>
  <c r="O32" i="14"/>
  <c r="K111" i="1"/>
  <c r="O68" i="7"/>
  <c r="L66" i="7"/>
  <c r="O66" i="7" s="1"/>
  <c r="L68" i="13"/>
  <c r="O68" i="13" s="1"/>
  <c r="O224" i="17"/>
  <c r="O329" i="11"/>
  <c r="L13" i="10"/>
  <c r="O13" i="10" s="1"/>
  <c r="O333" i="9"/>
  <c r="K626" i="1"/>
  <c r="O337" i="1"/>
  <c r="O45" i="17"/>
  <c r="O122" i="12"/>
  <c r="M12" i="9"/>
  <c r="M10" i="9" s="1"/>
  <c r="O148" i="1"/>
  <c r="L312" i="3"/>
  <c r="L310" i="3" s="1"/>
  <c r="O310" i="3" s="1"/>
  <c r="N29" i="2"/>
  <c r="N28" i="2" s="1"/>
  <c r="M66" i="9"/>
  <c r="P66" i="9" s="1"/>
  <c r="K396" i="1"/>
  <c r="P66" i="18"/>
  <c r="M310" i="15"/>
  <c r="P310" i="15" s="1"/>
  <c r="O122" i="16"/>
  <c r="L142" i="15"/>
  <c r="O142" i="15" s="1"/>
  <c r="M329" i="10"/>
  <c r="P329" i="10" s="1"/>
  <c r="O122" i="14"/>
  <c r="L41" i="11"/>
  <c r="O41" i="11" s="1"/>
  <c r="O122" i="2"/>
  <c r="P53" i="4"/>
  <c r="O45" i="2"/>
  <c r="K621" i="1"/>
  <c r="L30" i="14"/>
  <c r="O30" i="14" s="1"/>
  <c r="M66" i="13"/>
  <c r="P66" i="13" s="1"/>
  <c r="L292" i="7"/>
  <c r="O98" i="11"/>
  <c r="K435" i="1"/>
  <c r="K309" i="1"/>
  <c r="K368" i="1"/>
  <c r="K635" i="1"/>
  <c r="K173" i="1"/>
  <c r="O252" i="17"/>
  <c r="O70" i="16"/>
  <c r="O98" i="10"/>
  <c r="O566" i="1"/>
  <c r="O68" i="11"/>
  <c r="M271" i="17"/>
  <c r="P271" i="17" s="1"/>
  <c r="P222" i="14"/>
  <c r="M290" i="11"/>
  <c r="P290" i="11" s="1"/>
  <c r="L252" i="8"/>
  <c r="O252" i="8" s="1"/>
  <c r="P220" i="6"/>
  <c r="L22" i="2"/>
  <c r="L12" i="2" s="1"/>
  <c r="M68" i="1"/>
  <c r="P273" i="4"/>
  <c r="P222" i="11"/>
  <c r="P120" i="6"/>
  <c r="L292" i="3"/>
  <c r="O292" i="3" s="1"/>
  <c r="K87" i="1"/>
  <c r="K593" i="1"/>
  <c r="K455" i="1"/>
  <c r="L55" i="16"/>
  <c r="L53" i="16" s="1"/>
  <c r="O53" i="16" s="1"/>
  <c r="M310" i="13"/>
  <c r="P310" i="13" s="1"/>
  <c r="M94" i="11"/>
  <c r="P94" i="11" s="1"/>
  <c r="N20" i="14"/>
  <c r="N18" i="14" s="1"/>
  <c r="P220" i="11"/>
  <c r="N94" i="7"/>
  <c r="P94" i="7" s="1"/>
  <c r="P55" i="6"/>
  <c r="L43" i="4"/>
  <c r="O43" i="4" s="1"/>
  <c r="N140" i="3"/>
  <c r="P140" i="3" s="1"/>
  <c r="K622" i="1"/>
  <c r="L16" i="2"/>
  <c r="O16" i="2" s="1"/>
  <c r="O331" i="11"/>
  <c r="O347" i="1"/>
  <c r="P66" i="10"/>
  <c r="M94" i="2"/>
  <c r="P94" i="2" s="1"/>
  <c r="P55" i="4"/>
  <c r="K110" i="1"/>
  <c r="K88" i="1"/>
  <c r="N41" i="7"/>
  <c r="P41" i="7" s="1"/>
  <c r="N11" i="10"/>
  <c r="N9" i="10" s="1"/>
  <c r="O252" i="3"/>
  <c r="K80" i="1"/>
  <c r="P329" i="4"/>
  <c r="K560" i="1"/>
  <c r="O601" i="1"/>
  <c r="N33" i="1"/>
  <c r="N13" i="1" s="1"/>
  <c r="K267" i="1"/>
  <c r="K204" i="1"/>
  <c r="L14" i="7"/>
  <c r="O14" i="7" s="1"/>
  <c r="M66" i="12"/>
  <c r="P66" i="12" s="1"/>
  <c r="M310" i="7"/>
  <c r="P310" i="7" s="1"/>
  <c r="P329" i="5"/>
  <c r="O16" i="17"/>
  <c r="P331" i="8"/>
  <c r="L14" i="13"/>
  <c r="O14" i="13" s="1"/>
  <c r="N118" i="5"/>
  <c r="P118" i="5" s="1"/>
  <c r="P120" i="5"/>
  <c r="O254" i="7"/>
  <c r="L252" i="7"/>
  <c r="P312" i="11"/>
  <c r="M310" i="11"/>
  <c r="P310" i="11" s="1"/>
  <c r="O96" i="14"/>
  <c r="L94" i="14"/>
  <c r="L29" i="11"/>
  <c r="O31" i="11"/>
  <c r="O34" i="11"/>
  <c r="L273" i="8"/>
  <c r="L271" i="8" s="1"/>
  <c r="O275" i="8"/>
  <c r="L22" i="3"/>
  <c r="L20" i="3" s="1"/>
  <c r="L11" i="4"/>
  <c r="L29" i="4"/>
  <c r="O29" i="4" s="1"/>
  <c r="P120" i="14"/>
  <c r="M118" i="14"/>
  <c r="P118" i="14" s="1"/>
  <c r="O294" i="10"/>
  <c r="L292" i="10"/>
  <c r="L290" i="10" s="1"/>
  <c r="O290" i="10" s="1"/>
  <c r="N29" i="9"/>
  <c r="N28" i="9" s="1"/>
  <c r="N11" i="9"/>
  <c r="N9" i="9" s="1"/>
  <c r="P55" i="11"/>
  <c r="M53" i="11"/>
  <c r="P53" i="11" s="1"/>
  <c r="O70" i="5"/>
  <c r="L68" i="5"/>
  <c r="O68" i="5" s="1"/>
  <c r="L11" i="11"/>
  <c r="O11" i="11" s="1"/>
  <c r="O98" i="9"/>
  <c r="L96" i="9"/>
  <c r="O96" i="9" s="1"/>
  <c r="L222" i="16"/>
  <c r="O224" i="16"/>
  <c r="P273" i="16"/>
  <c r="N271" i="16"/>
  <c r="P271" i="16" s="1"/>
  <c r="O254" i="14"/>
  <c r="L252" i="14"/>
  <c r="O122" i="10"/>
  <c r="L120" i="10"/>
  <c r="O254" i="15"/>
  <c r="L22" i="15"/>
  <c r="O22" i="15" s="1"/>
  <c r="M55" i="1"/>
  <c r="P57" i="1"/>
  <c r="O273" i="13"/>
  <c r="L271" i="13"/>
  <c r="P273" i="9"/>
  <c r="M271" i="9"/>
  <c r="P271" i="9" s="1"/>
  <c r="M12" i="10"/>
  <c r="M10" i="10" s="1"/>
  <c r="M8" i="10" s="1"/>
  <c r="P142" i="10"/>
  <c r="M140" i="10"/>
  <c r="P140" i="10" s="1"/>
  <c r="N11" i="6"/>
  <c r="N9" i="6" s="1"/>
  <c r="N29" i="6"/>
  <c r="N28" i="6" s="1"/>
  <c r="O294" i="6"/>
  <c r="L292" i="6"/>
  <c r="O292" i="6" s="1"/>
  <c r="L120" i="4"/>
  <c r="O122" i="4"/>
  <c r="N11" i="3"/>
  <c r="N9" i="3" s="1"/>
  <c r="N29" i="3"/>
  <c r="N28" i="3" s="1"/>
  <c r="L142" i="3"/>
  <c r="O142" i="3" s="1"/>
  <c r="O144" i="3"/>
  <c r="L43" i="3"/>
  <c r="L41" i="3" s="1"/>
  <c r="O45" i="3"/>
  <c r="M43" i="1"/>
  <c r="M41" i="1" s="1"/>
  <c r="P45" i="1"/>
  <c r="P120" i="2"/>
  <c r="M118" i="2"/>
  <c r="P118" i="2" s="1"/>
  <c r="P252" i="12"/>
  <c r="N250" i="12"/>
  <c r="P250" i="12" s="1"/>
  <c r="L142" i="9"/>
  <c r="L140" i="9" s="1"/>
  <c r="O140" i="9" s="1"/>
  <c r="O144" i="9"/>
  <c r="O70" i="8"/>
  <c r="L68" i="8"/>
  <c r="L66" i="8" s="1"/>
  <c r="O66" i="8" s="1"/>
  <c r="P22" i="9"/>
  <c r="L222" i="8"/>
  <c r="O224" i="8"/>
  <c r="O98" i="16"/>
  <c r="L96" i="16"/>
  <c r="O96" i="16" s="1"/>
  <c r="N30" i="10"/>
  <c r="O30" i="10" s="1"/>
  <c r="O32" i="10"/>
  <c r="P331" i="17"/>
  <c r="M329" i="17"/>
  <c r="P329" i="17" s="1"/>
  <c r="O45" i="13"/>
  <c r="L22" i="13"/>
  <c r="O22" i="13" s="1"/>
  <c r="P222" i="5"/>
  <c r="M220" i="5"/>
  <c r="P220" i="5" s="1"/>
  <c r="O333" i="2"/>
  <c r="L331" i="2"/>
  <c r="O331" i="2" s="1"/>
  <c r="L312" i="2"/>
  <c r="N220" i="16"/>
  <c r="P222" i="16"/>
  <c r="O24" i="2"/>
  <c r="L14" i="2"/>
  <c r="O14" i="2" s="1"/>
  <c r="L222" i="2"/>
  <c r="L220" i="2" s="1"/>
  <c r="O220" i="2" s="1"/>
  <c r="O224" i="2"/>
  <c r="O144" i="18"/>
  <c r="O333" i="16"/>
  <c r="O292" i="13"/>
  <c r="L290" i="13"/>
  <c r="O290" i="13" s="1"/>
  <c r="L273" i="9"/>
  <c r="N20" i="2"/>
  <c r="N18" i="2" s="1"/>
  <c r="L273" i="18"/>
  <c r="O273" i="18" s="1"/>
  <c r="O275" i="18"/>
  <c r="O294" i="17"/>
  <c r="L292" i="17"/>
  <c r="L68" i="12"/>
  <c r="O70" i="12"/>
  <c r="L55" i="2"/>
  <c r="L53" i="2" s="1"/>
  <c r="O53" i="2" s="1"/>
  <c r="O57" i="2"/>
  <c r="P22" i="10"/>
  <c r="O24" i="12"/>
  <c r="L14" i="12"/>
  <c r="O14" i="12" s="1"/>
  <c r="P331" i="15"/>
  <c r="M329" i="15"/>
  <c r="P329" i="15" s="1"/>
  <c r="N34" i="1"/>
  <c r="N14" i="1" s="1"/>
  <c r="O57" i="4"/>
  <c r="L55" i="4"/>
  <c r="O55" i="4" s="1"/>
  <c r="N329" i="3"/>
  <c r="O329" i="3" s="1"/>
  <c r="O331" i="3"/>
  <c r="L292" i="5"/>
  <c r="O292" i="5" s="1"/>
  <c r="O294" i="5"/>
  <c r="P250" i="4"/>
  <c r="P43" i="9"/>
  <c r="O16" i="12"/>
  <c r="P41" i="14"/>
  <c r="L122" i="1"/>
  <c r="O122" i="1" s="1"/>
  <c r="P55" i="8"/>
  <c r="O222" i="13"/>
  <c r="L14" i="3"/>
  <c r="O14" i="3" s="1"/>
  <c r="O34" i="17"/>
  <c r="L14" i="9"/>
  <c r="O14" i="9" s="1"/>
  <c r="P22" i="15"/>
  <c r="M271" i="7"/>
  <c r="P271" i="7" s="1"/>
  <c r="L292" i="4"/>
  <c r="O455" i="1"/>
  <c r="L142" i="2"/>
  <c r="O142" i="2" s="1"/>
  <c r="N12" i="18"/>
  <c r="N10" i="18" s="1"/>
  <c r="N8" i="18" s="1"/>
  <c r="O120" i="15"/>
  <c r="M20" i="11"/>
  <c r="M18" i="11" s="1"/>
  <c r="P140" i="4"/>
  <c r="O599" i="1"/>
  <c r="K186" i="1"/>
  <c r="O34" i="8"/>
  <c r="L252" i="2"/>
  <c r="O252" i="2" s="1"/>
  <c r="P331" i="5"/>
  <c r="K92" i="1"/>
  <c r="M271" i="12"/>
  <c r="P271" i="12" s="1"/>
  <c r="P273" i="12"/>
  <c r="O273" i="4"/>
  <c r="P43" i="18"/>
  <c r="P142" i="17"/>
  <c r="L14" i="16"/>
  <c r="O14" i="16" s="1"/>
  <c r="M41" i="9"/>
  <c r="P41" i="9" s="1"/>
  <c r="O582" i="1"/>
  <c r="P252" i="4"/>
  <c r="K465" i="1"/>
  <c r="K345" i="1"/>
  <c r="P142" i="18"/>
  <c r="O34" i="14"/>
  <c r="M250" i="14"/>
  <c r="P250" i="14" s="1"/>
  <c r="P252" i="14"/>
  <c r="O30" i="18"/>
  <c r="L22" i="11"/>
  <c r="L20" i="11" s="1"/>
  <c r="K573" i="1"/>
  <c r="K200" i="1"/>
  <c r="K64" i="1"/>
  <c r="K132" i="1"/>
  <c r="O142" i="11"/>
  <c r="L140" i="11"/>
  <c r="O140" i="11" s="1"/>
  <c r="L290" i="15"/>
  <c r="O290" i="15" s="1"/>
  <c r="P118" i="12"/>
  <c r="O70" i="10"/>
  <c r="O122" i="11"/>
  <c r="O271" i="4"/>
  <c r="M290" i="2"/>
  <c r="P290" i="2" s="1"/>
  <c r="L22" i="9"/>
  <c r="L20" i="9" s="1"/>
  <c r="N31" i="1"/>
  <c r="N29" i="1" s="1"/>
  <c r="L331" i="6"/>
  <c r="O331" i="6" s="1"/>
  <c r="O34" i="4"/>
  <c r="K611" i="1"/>
  <c r="M310" i="16"/>
  <c r="P310" i="16" s="1"/>
  <c r="P273" i="18"/>
  <c r="N222" i="1"/>
  <c r="L292" i="11"/>
  <c r="O292" i="11" s="1"/>
  <c r="O70" i="11"/>
  <c r="P55" i="2"/>
  <c r="O49" i="1"/>
  <c r="N292" i="1"/>
  <c r="O34" i="2"/>
  <c r="L222" i="11"/>
  <c r="L250" i="15"/>
  <c r="O250" i="15" s="1"/>
  <c r="M329" i="12"/>
  <c r="P329" i="12" s="1"/>
  <c r="M290" i="12"/>
  <c r="P290" i="12" s="1"/>
  <c r="L55" i="11"/>
  <c r="L53" i="11" s="1"/>
  <c r="O53" i="11" s="1"/>
  <c r="L120" i="11"/>
  <c r="O120" i="11" s="1"/>
  <c r="M53" i="6"/>
  <c r="P53" i="6" s="1"/>
  <c r="P312" i="2"/>
  <c r="P55" i="13"/>
  <c r="N37" i="10"/>
  <c r="P120" i="12"/>
  <c r="O34" i="5"/>
  <c r="N68" i="1"/>
  <c r="P94" i="5"/>
  <c r="K370" i="1"/>
  <c r="O314" i="13"/>
  <c r="L312" i="13"/>
  <c r="P312" i="8"/>
  <c r="M310" i="8"/>
  <c r="P310" i="8" s="1"/>
  <c r="N96" i="1"/>
  <c r="O254" i="17"/>
  <c r="L13" i="14"/>
  <c r="O13" i="14" s="1"/>
  <c r="O120" i="12"/>
  <c r="N11" i="11"/>
  <c r="N9" i="11" s="1"/>
  <c r="M329" i="8"/>
  <c r="P329" i="8" s="1"/>
  <c r="M250" i="8"/>
  <c r="P250" i="8" s="1"/>
  <c r="N11" i="17"/>
  <c r="N9" i="17" s="1"/>
  <c r="N29" i="17"/>
  <c r="N28" i="17" s="1"/>
  <c r="L68" i="2"/>
  <c r="O70" i="2"/>
  <c r="O32" i="18"/>
  <c r="N29" i="18"/>
  <c r="N28" i="18" s="1"/>
  <c r="O57" i="11"/>
  <c r="L14" i="18"/>
  <c r="O14" i="18" s="1"/>
  <c r="L118" i="16"/>
  <c r="O118" i="16" s="1"/>
  <c r="O16" i="16"/>
  <c r="M250" i="15"/>
  <c r="P250" i="15" s="1"/>
  <c r="L273" i="14"/>
  <c r="O273" i="14" s="1"/>
  <c r="L252" i="12"/>
  <c r="L250" i="12" s="1"/>
  <c r="M118" i="9"/>
  <c r="P118" i="9" s="1"/>
  <c r="L118" i="7"/>
  <c r="O118" i="7" s="1"/>
  <c r="K614" i="1"/>
  <c r="O57" i="9"/>
  <c r="L118" i="3"/>
  <c r="O118" i="3" s="1"/>
  <c r="L24" i="1"/>
  <c r="O24" i="1" s="1"/>
  <c r="L333" i="1"/>
  <c r="O333" i="1" s="1"/>
  <c r="L224" i="1"/>
  <c r="O224" i="1" s="1"/>
  <c r="O26" i="13"/>
  <c r="M250" i="9"/>
  <c r="P250" i="9" s="1"/>
  <c r="N120" i="1"/>
  <c r="L220" i="7"/>
  <c r="O220" i="7" s="1"/>
  <c r="O96" i="12"/>
  <c r="L66" i="6"/>
  <c r="O66" i="6" s="1"/>
  <c r="P96" i="6"/>
  <c r="K199" i="1"/>
  <c r="P312" i="10"/>
  <c r="M310" i="10"/>
  <c r="P310" i="10" s="1"/>
  <c r="L222" i="18"/>
  <c r="O222" i="18" s="1"/>
  <c r="P55" i="14"/>
  <c r="P140" i="17"/>
  <c r="P43" i="16"/>
  <c r="P53" i="13"/>
  <c r="N20" i="13"/>
  <c r="N18" i="13" s="1"/>
  <c r="M310" i="6"/>
  <c r="P310" i="6" s="1"/>
  <c r="L22" i="4"/>
  <c r="O22" i="4" s="1"/>
  <c r="N28" i="5"/>
  <c r="L94" i="17"/>
  <c r="N37" i="11"/>
  <c r="L22" i="12"/>
  <c r="L12" i="12" s="1"/>
  <c r="P43" i="10"/>
  <c r="P68" i="10"/>
  <c r="P294" i="1"/>
  <c r="L33" i="1"/>
  <c r="O33" i="1" s="1"/>
  <c r="L29" i="10"/>
  <c r="O31" i="10"/>
  <c r="P142" i="9"/>
  <c r="M140" i="9"/>
  <c r="P140" i="9" s="1"/>
  <c r="O96" i="11"/>
  <c r="L94" i="11"/>
  <c r="O94" i="11" s="1"/>
  <c r="L331" i="17"/>
  <c r="O331" i="17" s="1"/>
  <c r="N140" i="16"/>
  <c r="P140" i="16" s="1"/>
  <c r="O43" i="16"/>
  <c r="P53" i="15"/>
  <c r="L14" i="14"/>
  <c r="O14" i="14" s="1"/>
  <c r="P118" i="13"/>
  <c r="L55" i="13"/>
  <c r="O55" i="13" s="1"/>
  <c r="M53" i="7"/>
  <c r="P53" i="7" s="1"/>
  <c r="N41" i="6"/>
  <c r="P41" i="6" s="1"/>
  <c r="N11" i="4"/>
  <c r="N9" i="4" s="1"/>
  <c r="P43" i="3"/>
  <c r="K612" i="1"/>
  <c r="N41" i="5"/>
  <c r="P41" i="5" s="1"/>
  <c r="N26" i="1"/>
  <c r="N16" i="1" s="1"/>
  <c r="L314" i="1"/>
  <c r="O314" i="1" s="1"/>
  <c r="P68" i="18"/>
  <c r="M118" i="15"/>
  <c r="P118" i="15" s="1"/>
  <c r="P120" i="15"/>
  <c r="O31" i="14"/>
  <c r="L11" i="14"/>
  <c r="P220" i="13"/>
  <c r="N29" i="14"/>
  <c r="N28" i="14" s="1"/>
  <c r="N11" i="14"/>
  <c r="N9" i="14" s="1"/>
  <c r="P292" i="17"/>
  <c r="M290" i="17"/>
  <c r="P290" i="17" s="1"/>
  <c r="O34" i="15"/>
  <c r="O23" i="11"/>
  <c r="L13" i="11"/>
  <c r="O13" i="11" s="1"/>
  <c r="O45" i="12"/>
  <c r="L43" i="12"/>
  <c r="L41" i="12" s="1"/>
  <c r="P331" i="9"/>
  <c r="M329" i="9"/>
  <c r="P329" i="9" s="1"/>
  <c r="P292" i="7"/>
  <c r="M290" i="7"/>
  <c r="P290" i="7" s="1"/>
  <c r="O144" i="10"/>
  <c r="L142" i="10"/>
  <c r="N11" i="7"/>
  <c r="N9" i="7" s="1"/>
  <c r="N29" i="7"/>
  <c r="N28" i="7" s="1"/>
  <c r="P222" i="4"/>
  <c r="M220" i="4"/>
  <c r="P220" i="4" s="1"/>
  <c r="M118" i="8"/>
  <c r="P118" i="8" s="1"/>
  <c r="P120" i="8"/>
  <c r="L250" i="3"/>
  <c r="O250" i="3" s="1"/>
  <c r="O34" i="12"/>
  <c r="K451" i="1"/>
  <c r="P43" i="4"/>
  <c r="M41" i="4"/>
  <c r="P41" i="4" s="1"/>
  <c r="O98" i="3"/>
  <c r="L96" i="3"/>
  <c r="O98" i="2"/>
  <c r="L96" i="2"/>
  <c r="L98" i="1"/>
  <c r="O98" i="1" s="1"/>
  <c r="M142" i="1"/>
  <c r="M140" i="11"/>
  <c r="P140" i="11" s="1"/>
  <c r="P142" i="11"/>
  <c r="L29" i="9"/>
  <c r="O29" i="9" s="1"/>
  <c r="L11" i="9"/>
  <c r="O11" i="9" s="1"/>
  <c r="O31" i="9"/>
  <c r="O144" i="8"/>
  <c r="L142" i="8"/>
  <c r="N290" i="1"/>
  <c r="O70" i="18"/>
  <c r="N94" i="18"/>
  <c r="P94" i="18" s="1"/>
  <c r="P53" i="18"/>
  <c r="O333" i="17"/>
  <c r="L310" i="17"/>
  <c r="O310" i="17" s="1"/>
  <c r="L22" i="17"/>
  <c r="O22" i="17" s="1"/>
  <c r="M53" i="14"/>
  <c r="P53" i="14" s="1"/>
  <c r="N20" i="12"/>
  <c r="N18" i="12" s="1"/>
  <c r="L53" i="9"/>
  <c r="P220" i="8"/>
  <c r="O275" i="5"/>
  <c r="K619" i="1"/>
  <c r="P55" i="15"/>
  <c r="L290" i="16"/>
  <c r="O290" i="16" s="1"/>
  <c r="N29" i="13"/>
  <c r="N28" i="13" s="1"/>
  <c r="N11" i="13"/>
  <c r="N9" i="13" s="1"/>
  <c r="M94" i="10"/>
  <c r="P94" i="10" s="1"/>
  <c r="P96" i="10"/>
  <c r="O26" i="10"/>
  <c r="L16" i="10"/>
  <c r="O16" i="10" s="1"/>
  <c r="O34" i="9"/>
  <c r="P222" i="18"/>
  <c r="M220" i="18"/>
  <c r="P220" i="18" s="1"/>
  <c r="N12" i="8"/>
  <c r="N20" i="8"/>
  <c r="M20" i="8"/>
  <c r="M18" i="8" s="1"/>
  <c r="P22" i="8"/>
  <c r="M12" i="8"/>
  <c r="O31" i="13"/>
  <c r="L11" i="13"/>
  <c r="O34" i="13"/>
  <c r="L294" i="1"/>
  <c r="O294" i="1" s="1"/>
  <c r="O26" i="8"/>
  <c r="N16" i="8"/>
  <c r="O16" i="8" s="1"/>
  <c r="O23" i="8"/>
  <c r="L13" i="8"/>
  <c r="O13" i="8" s="1"/>
  <c r="M310" i="3"/>
  <c r="P310" i="3" s="1"/>
  <c r="P96" i="5"/>
  <c r="M96" i="1"/>
  <c r="M140" i="6"/>
  <c r="P140" i="6" s="1"/>
  <c r="N329" i="2"/>
  <c r="P329" i="2" s="1"/>
  <c r="N331" i="1"/>
  <c r="M94" i="6"/>
  <c r="P94" i="6" s="1"/>
  <c r="O404" i="1"/>
  <c r="N12" i="2"/>
  <c r="N10" i="2" s="1"/>
  <c r="N8" i="2" s="1"/>
  <c r="N22" i="1"/>
  <c r="L14" i="8"/>
  <c r="O14" i="8" s="1"/>
  <c r="O537" i="1"/>
  <c r="O31" i="8"/>
  <c r="L29" i="8"/>
  <c r="L11" i="8"/>
  <c r="N12" i="11"/>
  <c r="N10" i="11" s="1"/>
  <c r="N20" i="11"/>
  <c r="N18" i="11" s="1"/>
  <c r="O57" i="3"/>
  <c r="L55" i="3"/>
  <c r="O32" i="8"/>
  <c r="L30" i="8"/>
  <c r="O30" i="8" s="1"/>
  <c r="O43" i="17"/>
  <c r="L22" i="16"/>
  <c r="L20" i="16" s="1"/>
  <c r="N66" i="16"/>
  <c r="P66" i="16" s="1"/>
  <c r="L11" i="10"/>
  <c r="O11" i="10" s="1"/>
  <c r="L22" i="8"/>
  <c r="L12" i="8" s="1"/>
  <c r="M292" i="1"/>
  <c r="P53" i="2"/>
  <c r="K617" i="1"/>
  <c r="L31" i="1"/>
  <c r="L11" i="1" s="1"/>
  <c r="N312" i="1"/>
  <c r="O26" i="17"/>
  <c r="N12" i="17"/>
  <c r="N10" i="17" s="1"/>
  <c r="P273" i="10"/>
  <c r="M271" i="10"/>
  <c r="P271" i="10" s="1"/>
  <c r="L273" i="6"/>
  <c r="O275" i="6"/>
  <c r="O23" i="9"/>
  <c r="L13" i="9"/>
  <c r="O13" i="9" s="1"/>
  <c r="P273" i="11"/>
  <c r="M271" i="11"/>
  <c r="P271" i="11" s="1"/>
  <c r="M94" i="8"/>
  <c r="P94" i="8" s="1"/>
  <c r="P96" i="8"/>
  <c r="P22" i="11"/>
  <c r="P68" i="8"/>
  <c r="M66" i="8"/>
  <c r="P66" i="8" s="1"/>
  <c r="N12" i="9"/>
  <c r="N310" i="4"/>
  <c r="P312" i="4"/>
  <c r="O26" i="12"/>
  <c r="O144" i="4"/>
  <c r="L142" i="4"/>
  <c r="P68" i="6"/>
  <c r="M66" i="6"/>
  <c r="P66" i="6" s="1"/>
  <c r="P120" i="4"/>
  <c r="M118" i="4"/>
  <c r="P118" i="4" s="1"/>
  <c r="P331" i="2"/>
  <c r="O312" i="11"/>
  <c r="L310" i="11"/>
  <c r="O310" i="11" s="1"/>
  <c r="P222" i="7"/>
  <c r="M220" i="7"/>
  <c r="P220" i="7" s="1"/>
  <c r="O55" i="18"/>
  <c r="N20" i="18"/>
  <c r="N18" i="18" s="1"/>
  <c r="M271" i="18"/>
  <c r="P271" i="18" s="1"/>
  <c r="P55" i="18"/>
  <c r="O53" i="18"/>
  <c r="L16" i="13"/>
  <c r="O16" i="13" s="1"/>
  <c r="O66" i="11"/>
  <c r="L312" i="12"/>
  <c r="L30" i="12"/>
  <c r="O30" i="12" s="1"/>
  <c r="L94" i="12"/>
  <c r="L271" i="7"/>
  <c r="O271" i="7" s="1"/>
  <c r="M140" i="5"/>
  <c r="P140" i="5" s="1"/>
  <c r="M41" i="8"/>
  <c r="P41" i="8" s="1"/>
  <c r="N329" i="7"/>
  <c r="K615" i="1"/>
  <c r="P96" i="16"/>
  <c r="M94" i="16"/>
  <c r="P94" i="16" s="1"/>
  <c r="O144" i="13"/>
  <c r="L142" i="13"/>
  <c r="N41" i="12"/>
  <c r="N29" i="16"/>
  <c r="N28" i="16" s="1"/>
  <c r="N11" i="16"/>
  <c r="N9" i="16" s="1"/>
  <c r="O32" i="15"/>
  <c r="L30" i="15"/>
  <c r="O30" i="15" s="1"/>
  <c r="L118" i="12"/>
  <c r="O118" i="12" s="1"/>
  <c r="N20" i="17"/>
  <c r="N18" i="17" s="1"/>
  <c r="P43" i="12"/>
  <c r="O23" i="13"/>
  <c r="L13" i="13"/>
  <c r="O13" i="13" s="1"/>
  <c r="O34" i="10"/>
  <c r="P120" i="11"/>
  <c r="M118" i="11"/>
  <c r="P118" i="11" s="1"/>
  <c r="P43" i="11"/>
  <c r="M41" i="11"/>
  <c r="N271" i="8"/>
  <c r="P271" i="8" s="1"/>
  <c r="P273" i="8"/>
  <c r="O312" i="6"/>
  <c r="L310" i="6"/>
  <c r="O310" i="6" s="1"/>
  <c r="P292" i="4"/>
  <c r="M290" i="4"/>
  <c r="P290" i="4" s="1"/>
  <c r="O31" i="7"/>
  <c r="L11" i="7"/>
  <c r="L250" i="5"/>
  <c r="O250" i="5" s="1"/>
  <c r="O31" i="3"/>
  <c r="L11" i="3"/>
  <c r="P273" i="2"/>
  <c r="M273" i="1"/>
  <c r="M271" i="2"/>
  <c r="P271" i="2" s="1"/>
  <c r="N32" i="1"/>
  <c r="N30" i="1" s="1"/>
  <c r="N273" i="1"/>
  <c r="L29" i="15"/>
  <c r="O31" i="15"/>
  <c r="L220" i="13"/>
  <c r="O220" i="13" s="1"/>
  <c r="L41" i="13"/>
  <c r="O41" i="13" s="1"/>
  <c r="O314" i="12"/>
  <c r="L53" i="12"/>
  <c r="O53" i="12" s="1"/>
  <c r="L271" i="5"/>
  <c r="O271" i="5" s="1"/>
  <c r="L22" i="5"/>
  <c r="L12" i="5" s="1"/>
  <c r="K616" i="1"/>
  <c r="L275" i="1"/>
  <c r="O275" i="1" s="1"/>
  <c r="K613" i="1"/>
  <c r="P292" i="18"/>
  <c r="M290" i="18"/>
  <c r="P290" i="18" s="1"/>
  <c r="O31" i="18"/>
  <c r="L29" i="18"/>
  <c r="L11" i="18"/>
  <c r="L14" i="15"/>
  <c r="O14" i="15" s="1"/>
  <c r="O24" i="15"/>
  <c r="L29" i="17"/>
  <c r="O29" i="17" s="1"/>
  <c r="O31" i="17"/>
  <c r="L11" i="17"/>
  <c r="P96" i="15"/>
  <c r="M94" i="15"/>
  <c r="P94" i="15" s="1"/>
  <c r="P68" i="11"/>
  <c r="M66" i="11"/>
  <c r="P66" i="11" s="1"/>
  <c r="O26" i="9"/>
  <c r="L16" i="9"/>
  <c r="O16" i="9" s="1"/>
  <c r="O26" i="11"/>
  <c r="L16" i="11"/>
  <c r="O16" i="11" s="1"/>
  <c r="O31" i="12"/>
  <c r="L11" i="12"/>
  <c r="O32" i="9"/>
  <c r="P273" i="5"/>
  <c r="M271" i="5"/>
  <c r="P271" i="5" s="1"/>
  <c r="M331" i="1"/>
  <c r="P331" i="4"/>
  <c r="P271" i="3"/>
  <c r="L34" i="1"/>
  <c r="P292" i="3"/>
  <c r="M290" i="3"/>
  <c r="P290" i="3" s="1"/>
  <c r="O142" i="18"/>
  <c r="L140" i="18"/>
  <c r="O140" i="18" s="1"/>
  <c r="O41" i="16"/>
  <c r="O68" i="18"/>
  <c r="L66" i="18"/>
  <c r="O66" i="18" s="1"/>
  <c r="O45" i="18"/>
  <c r="L43" i="18"/>
  <c r="L22" i="18"/>
  <c r="M9" i="17"/>
  <c r="P11" i="17"/>
  <c r="P11" i="14"/>
  <c r="M9" i="14"/>
  <c r="P43" i="17"/>
  <c r="N41" i="17"/>
  <c r="L250" i="17"/>
  <c r="O250" i="17" s="1"/>
  <c r="P312" i="17"/>
  <c r="M310" i="17"/>
  <c r="P310" i="17" s="1"/>
  <c r="L41" i="17"/>
  <c r="O32" i="17"/>
  <c r="L30" i="17"/>
  <c r="O26" i="15"/>
  <c r="L16" i="15"/>
  <c r="O16" i="15" s="1"/>
  <c r="P120" i="16"/>
  <c r="M118" i="16"/>
  <c r="P118" i="16" s="1"/>
  <c r="N20" i="16"/>
  <c r="N18" i="16" s="1"/>
  <c r="O23" i="15"/>
  <c r="L13" i="15"/>
  <c r="O13" i="15" s="1"/>
  <c r="M18" i="15"/>
  <c r="O68" i="15"/>
  <c r="L66" i="15"/>
  <c r="O23" i="12"/>
  <c r="L13" i="12"/>
  <c r="O13" i="12" s="1"/>
  <c r="O292" i="14"/>
  <c r="L290" i="14"/>
  <c r="O290" i="14" s="1"/>
  <c r="L66" i="10"/>
  <c r="O66" i="10" s="1"/>
  <c r="O68" i="10"/>
  <c r="O45" i="10"/>
  <c r="L43" i="10"/>
  <c r="L22" i="10"/>
  <c r="M28" i="11"/>
  <c r="P28" i="11" s="1"/>
  <c r="P11" i="9"/>
  <c r="M9" i="9"/>
  <c r="P29" i="8"/>
  <c r="M28" i="8"/>
  <c r="P28" i="8" s="1"/>
  <c r="O29" i="3"/>
  <c r="P94" i="3"/>
  <c r="O26" i="7"/>
  <c r="L30" i="6"/>
  <c r="O30" i="6" s="1"/>
  <c r="O32" i="6"/>
  <c r="M9" i="7"/>
  <c r="P11" i="7"/>
  <c r="N12" i="3"/>
  <c r="N10" i="3" s="1"/>
  <c r="N20" i="3"/>
  <c r="N18" i="3" s="1"/>
  <c r="L19" i="1"/>
  <c r="O21" i="1"/>
  <c r="O23" i="5"/>
  <c r="L13" i="5"/>
  <c r="O13" i="5" s="1"/>
  <c r="N12" i="4"/>
  <c r="N10" i="4" s="1"/>
  <c r="N20" i="4"/>
  <c r="N18" i="4" s="1"/>
  <c r="P68" i="4"/>
  <c r="M66" i="4"/>
  <c r="P30" i="4"/>
  <c r="M28" i="4"/>
  <c r="P28" i="4" s="1"/>
  <c r="N43" i="1"/>
  <c r="P66" i="2"/>
  <c r="P11" i="1"/>
  <c r="M9" i="1"/>
  <c r="N252" i="1"/>
  <c r="O23" i="18"/>
  <c r="L13" i="18"/>
  <c r="O13" i="18" s="1"/>
  <c r="M9" i="18"/>
  <c r="P15" i="18"/>
  <c r="O19" i="17"/>
  <c r="L13" i="17"/>
  <c r="O13" i="17" s="1"/>
  <c r="O23" i="17"/>
  <c r="O34" i="16"/>
  <c r="L329" i="15"/>
  <c r="O329" i="15" s="1"/>
  <c r="P55" i="16"/>
  <c r="M53" i="16"/>
  <c r="L13" i="16"/>
  <c r="O13" i="16" s="1"/>
  <c r="O23" i="16"/>
  <c r="O222" i="17"/>
  <c r="L220" i="17"/>
  <c r="O220" i="17" s="1"/>
  <c r="M9" i="16"/>
  <c r="M41" i="15"/>
  <c r="P43" i="15"/>
  <c r="O26" i="16"/>
  <c r="P29" i="15"/>
  <c r="M28" i="15"/>
  <c r="P28" i="15" s="1"/>
  <c r="L118" i="14"/>
  <c r="O118" i="14" s="1"/>
  <c r="P41" i="10"/>
  <c r="O96" i="8"/>
  <c r="L94" i="8"/>
  <c r="O94" i="8" s="1"/>
  <c r="N12" i="6"/>
  <c r="N10" i="6" s="1"/>
  <c r="N20" i="6"/>
  <c r="N18" i="6" s="1"/>
  <c r="O57" i="6"/>
  <c r="L55" i="6"/>
  <c r="O23" i="4"/>
  <c r="L13" i="4"/>
  <c r="O13" i="4" s="1"/>
  <c r="P22" i="2"/>
  <c r="M12" i="2"/>
  <c r="M20" i="2"/>
  <c r="L310" i="8"/>
  <c r="O310" i="8" s="1"/>
  <c r="O312" i="8"/>
  <c r="O70" i="3"/>
  <c r="L68" i="3"/>
  <c r="L70" i="1"/>
  <c r="O70" i="1" s="1"/>
  <c r="P271" i="4"/>
  <c r="O31" i="2"/>
  <c r="L29" i="2"/>
  <c r="L11" i="2"/>
  <c r="O457" i="1"/>
  <c r="L32" i="1"/>
  <c r="O273" i="3"/>
  <c r="L271" i="3"/>
  <c r="O254" i="4"/>
  <c r="L252" i="4"/>
  <c r="L254" i="1"/>
  <c r="O254" i="1" s="1"/>
  <c r="O43" i="2"/>
  <c r="O292" i="18"/>
  <c r="L290" i="18"/>
  <c r="O290" i="18" s="1"/>
  <c r="P22" i="16"/>
  <c r="M12" i="16"/>
  <c r="M20" i="16"/>
  <c r="P22" i="14"/>
  <c r="M12" i="14"/>
  <c r="M20" i="14"/>
  <c r="P312" i="14"/>
  <c r="M310" i="14"/>
  <c r="P310" i="14" s="1"/>
  <c r="M312" i="1"/>
  <c r="O222" i="14"/>
  <c r="L220" i="14"/>
  <c r="O220" i="14" s="1"/>
  <c r="P11" i="12"/>
  <c r="M9" i="12"/>
  <c r="P19" i="12"/>
  <c r="M18" i="10"/>
  <c r="N20" i="10"/>
  <c r="N18" i="10" s="1"/>
  <c r="N12" i="10"/>
  <c r="N10" i="10" s="1"/>
  <c r="M9" i="11"/>
  <c r="P9" i="8"/>
  <c r="L13" i="7"/>
  <c r="O13" i="7" s="1"/>
  <c r="O23" i="7"/>
  <c r="P140" i="2"/>
  <c r="P43" i="7"/>
  <c r="O23" i="6"/>
  <c r="L13" i="6"/>
  <c r="O13" i="6" s="1"/>
  <c r="P11" i="4"/>
  <c r="M9" i="4"/>
  <c r="L30" i="5"/>
  <c r="O30" i="5" s="1"/>
  <c r="O32" i="5"/>
  <c r="P19" i="4"/>
  <c r="O23" i="3"/>
  <c r="L13" i="3"/>
  <c r="O13" i="3" s="1"/>
  <c r="P292" i="6"/>
  <c r="M290" i="6"/>
  <c r="N12" i="5"/>
  <c r="N10" i="5" s="1"/>
  <c r="N20" i="5"/>
  <c r="N18" i="5" s="1"/>
  <c r="M53" i="5"/>
  <c r="O23" i="2"/>
  <c r="L13" i="2"/>
  <c r="O13" i="2" s="1"/>
  <c r="P19" i="3"/>
  <c r="O120" i="2"/>
  <c r="O144" i="5"/>
  <c r="L142" i="5"/>
  <c r="N41" i="2"/>
  <c r="O331" i="5"/>
  <c r="L329" i="5"/>
  <c r="O329" i="5" s="1"/>
  <c r="L14" i="4"/>
  <c r="O14" i="4" s="1"/>
  <c r="O24" i="17"/>
  <c r="L14" i="17"/>
  <c r="O14" i="17" s="1"/>
  <c r="O32" i="16"/>
  <c r="L30" i="16"/>
  <c r="O30" i="16" s="1"/>
  <c r="P9" i="15"/>
  <c r="P30" i="14"/>
  <c r="M28" i="14"/>
  <c r="P28" i="14" s="1"/>
  <c r="P41" i="13"/>
  <c r="P30" i="12"/>
  <c r="M28" i="12"/>
  <c r="P28" i="12" s="1"/>
  <c r="P222" i="12"/>
  <c r="M220" i="12"/>
  <c r="P220" i="12" s="1"/>
  <c r="O331" i="10"/>
  <c r="L329" i="10"/>
  <c r="O329" i="10" s="1"/>
  <c r="O96" i="10"/>
  <c r="L94" i="10"/>
  <c r="O94" i="10" s="1"/>
  <c r="O19" i="10"/>
  <c r="P29" i="10"/>
  <c r="M28" i="10"/>
  <c r="P28" i="10" s="1"/>
  <c r="P30" i="7"/>
  <c r="M28" i="7"/>
  <c r="P28" i="7" s="1"/>
  <c r="P329" i="6"/>
  <c r="P11" i="5"/>
  <c r="M9" i="5"/>
  <c r="P22" i="7"/>
  <c r="M12" i="7"/>
  <c r="M20" i="7"/>
  <c r="M18" i="7" s="1"/>
  <c r="L11" i="6"/>
  <c r="O31" i="6"/>
  <c r="L29" i="6"/>
  <c r="O118" i="2"/>
  <c r="P142" i="7"/>
  <c r="N140" i="7"/>
  <c r="O140" i="7" s="1"/>
  <c r="N142" i="1"/>
  <c r="N20" i="7"/>
  <c r="N18" i="7" s="1"/>
  <c r="P120" i="3"/>
  <c r="M118" i="3"/>
  <c r="P118" i="3" s="1"/>
  <c r="M120" i="1"/>
  <c r="O26" i="4"/>
  <c r="L16" i="4"/>
  <c r="O16" i="4" s="1"/>
  <c r="O26" i="3"/>
  <c r="L16" i="3"/>
  <c r="O16" i="3" s="1"/>
  <c r="P250" i="2"/>
  <c r="O24" i="5"/>
  <c r="L14" i="5"/>
  <c r="O14" i="5" s="1"/>
  <c r="O32" i="3"/>
  <c r="L30" i="3"/>
  <c r="O30" i="3" s="1"/>
  <c r="P55" i="3"/>
  <c r="M53" i="3"/>
  <c r="P53" i="3" s="1"/>
  <c r="M9" i="3"/>
  <c r="P11" i="3"/>
  <c r="P19" i="2"/>
  <c r="P70" i="1"/>
  <c r="M22" i="1"/>
  <c r="L26" i="1"/>
  <c r="P22" i="18"/>
  <c r="M12" i="18"/>
  <c r="M20" i="18"/>
  <c r="P22" i="17"/>
  <c r="M12" i="17"/>
  <c r="M20" i="17"/>
  <c r="O19" i="15"/>
  <c r="O57" i="14"/>
  <c r="L55" i="14"/>
  <c r="L22" i="14"/>
  <c r="O29" i="14"/>
  <c r="M20" i="12"/>
  <c r="P22" i="12"/>
  <c r="M12" i="12"/>
  <c r="M53" i="10"/>
  <c r="P53" i="10" s="1"/>
  <c r="P55" i="10"/>
  <c r="O29" i="12"/>
  <c r="L66" i="14"/>
  <c r="O66" i="14" s="1"/>
  <c r="O142" i="12"/>
  <c r="L140" i="12"/>
  <c r="P9" i="10"/>
  <c r="O30" i="9"/>
  <c r="P19" i="9"/>
  <c r="M18" i="9"/>
  <c r="O29" i="7"/>
  <c r="L329" i="9"/>
  <c r="O329" i="9" s="1"/>
  <c r="O331" i="9"/>
  <c r="P9" i="6"/>
  <c r="P22" i="6"/>
  <c r="M12" i="6"/>
  <c r="M20" i="6"/>
  <c r="O26" i="6"/>
  <c r="L16" i="6"/>
  <c r="O16" i="6" s="1"/>
  <c r="P120" i="7"/>
  <c r="M118" i="7"/>
  <c r="P118" i="7" s="1"/>
  <c r="O120" i="9"/>
  <c r="L118" i="9"/>
  <c r="O118" i="9" s="1"/>
  <c r="P41" i="3"/>
  <c r="P310" i="2"/>
  <c r="M9" i="2"/>
  <c r="P11" i="2"/>
  <c r="O32" i="4"/>
  <c r="L30" i="4"/>
  <c r="O30" i="4" s="1"/>
  <c r="O45" i="6"/>
  <c r="L43" i="6"/>
  <c r="L22" i="6"/>
  <c r="L45" i="1"/>
  <c r="O32" i="2"/>
  <c r="L30" i="2"/>
  <c r="O30" i="2" s="1"/>
  <c r="O16" i="18"/>
  <c r="O31" i="16"/>
  <c r="L29" i="16"/>
  <c r="L11" i="16"/>
  <c r="N140" i="14"/>
  <c r="P142" i="14"/>
  <c r="O29" i="13"/>
  <c r="L28" i="13"/>
  <c r="P11" i="13"/>
  <c r="M9" i="13"/>
  <c r="P96" i="18"/>
  <c r="O96" i="18"/>
  <c r="M41" i="18"/>
  <c r="L53" i="17"/>
  <c r="O53" i="17" s="1"/>
  <c r="O55" i="17"/>
  <c r="O26" i="18"/>
  <c r="P55" i="17"/>
  <c r="M53" i="17"/>
  <c r="P252" i="17"/>
  <c r="M250" i="17"/>
  <c r="P250" i="17" s="1"/>
  <c r="M252" i="1"/>
  <c r="O68" i="16"/>
  <c r="L66" i="16"/>
  <c r="O331" i="16"/>
  <c r="L329" i="16"/>
  <c r="N12" i="16"/>
  <c r="N10" i="16" s="1"/>
  <c r="L53" i="15"/>
  <c r="O53" i="15" s="1"/>
  <c r="P19" i="17"/>
  <c r="N20" i="15"/>
  <c r="N18" i="15" s="1"/>
  <c r="N12" i="15"/>
  <c r="N10" i="15" s="1"/>
  <c r="N8" i="15" s="1"/>
  <c r="L9" i="15"/>
  <c r="O11" i="15"/>
  <c r="M20" i="13"/>
  <c r="M18" i="13" s="1"/>
  <c r="P22" i="13"/>
  <c r="M12" i="13"/>
  <c r="P19" i="13"/>
  <c r="L271" i="10"/>
  <c r="O271" i="10" s="1"/>
  <c r="O273" i="10"/>
  <c r="P19" i="6"/>
  <c r="O120" i="8"/>
  <c r="L118" i="8"/>
  <c r="O118" i="8" s="1"/>
  <c r="P30" i="3"/>
  <c r="M28" i="3"/>
  <c r="P28" i="3" s="1"/>
  <c r="M20" i="4"/>
  <c r="M12" i="4"/>
  <c r="P22" i="4"/>
  <c r="O16" i="7"/>
  <c r="O32" i="7"/>
  <c r="L30" i="7"/>
  <c r="O30" i="7" s="1"/>
  <c r="P250" i="6"/>
  <c r="P22" i="5"/>
  <c r="M12" i="5"/>
  <c r="M20" i="5"/>
  <c r="P19" i="7"/>
  <c r="L11" i="5"/>
  <c r="O31" i="5"/>
  <c r="L29" i="5"/>
  <c r="O26" i="5"/>
  <c r="L16" i="5"/>
  <c r="O16" i="5" s="1"/>
  <c r="O57" i="5"/>
  <c r="L55" i="5"/>
  <c r="L57" i="1"/>
  <c r="M28" i="2"/>
  <c r="P28" i="2" s="1"/>
  <c r="P30" i="2"/>
  <c r="O43" i="9"/>
  <c r="L41" i="9"/>
  <c r="P222" i="2"/>
  <c r="M220" i="2"/>
  <c r="M222" i="1"/>
  <c r="O34" i="3"/>
  <c r="P22" i="3"/>
  <c r="M12" i="3"/>
  <c r="M20" i="3"/>
  <c r="O24" i="6"/>
  <c r="L14" i="6"/>
  <c r="O14" i="6" s="1"/>
  <c r="L144" i="1"/>
  <c r="O144" i="1" s="1"/>
  <c r="P19" i="1"/>
  <c r="L310" i="18" l="1"/>
  <c r="O310" i="18" s="1"/>
  <c r="O252" i="13"/>
  <c r="L118" i="5"/>
  <c r="O118" i="5" s="1"/>
  <c r="L220" i="4"/>
  <c r="O220" i="4" s="1"/>
  <c r="L140" i="14"/>
  <c r="O331" i="8"/>
  <c r="L310" i="16"/>
  <c r="O310" i="16" s="1"/>
  <c r="L53" i="8"/>
  <c r="O53" i="8" s="1"/>
  <c r="L310" i="7"/>
  <c r="O310" i="7" s="1"/>
  <c r="O312" i="10"/>
  <c r="L329" i="13"/>
  <c r="O329" i="13" s="1"/>
  <c r="L329" i="18"/>
  <c r="O329" i="18" s="1"/>
  <c r="N8" i="5"/>
  <c r="O292" i="8"/>
  <c r="L271" i="16"/>
  <c r="O271" i="16" s="1"/>
  <c r="L220" i="5"/>
  <c r="O220" i="5" s="1"/>
  <c r="L53" i="7"/>
  <c r="O53" i="7" s="1"/>
  <c r="L66" i="17"/>
  <c r="O66" i="17" s="1"/>
  <c r="L271" i="17"/>
  <c r="O271" i="17" s="1"/>
  <c r="P53" i="9"/>
  <c r="O273" i="8"/>
  <c r="O55" i="16"/>
  <c r="N250" i="1"/>
  <c r="L140" i="17"/>
  <c r="O140" i="17" s="1"/>
  <c r="L118" i="13"/>
  <c r="O118" i="13" s="1"/>
  <c r="O273" i="12"/>
  <c r="L250" i="9"/>
  <c r="O250" i="9" s="1"/>
  <c r="L310" i="14"/>
  <c r="O310" i="14" s="1"/>
  <c r="O312" i="5"/>
  <c r="L220" i="9"/>
  <c r="O220" i="9" s="1"/>
  <c r="L94" i="13"/>
  <c r="O94" i="13" s="1"/>
  <c r="L329" i="4"/>
  <c r="O329" i="4" s="1"/>
  <c r="O329" i="7"/>
  <c r="O331" i="7"/>
  <c r="L250" i="8"/>
  <c r="O250" i="8" s="1"/>
  <c r="P222" i="1"/>
  <c r="O94" i="14"/>
  <c r="O222" i="12"/>
  <c r="O55" i="11"/>
  <c r="N37" i="15"/>
  <c r="N37" i="13"/>
  <c r="O252" i="12"/>
  <c r="L290" i="9"/>
  <c r="O290" i="9" s="1"/>
  <c r="L310" i="4"/>
  <c r="O310" i="4" s="1"/>
  <c r="N8" i="6"/>
  <c r="O271" i="15"/>
  <c r="L329" i="2"/>
  <c r="O329" i="2" s="1"/>
  <c r="O142" i="9"/>
  <c r="N8" i="3"/>
  <c r="N118" i="1"/>
  <c r="O96" i="4"/>
  <c r="O43" i="14"/>
  <c r="P329" i="3"/>
  <c r="P20" i="2"/>
  <c r="L53" i="4"/>
  <c r="O53" i="4" s="1"/>
  <c r="L94" i="7"/>
  <c r="O94" i="7" s="1"/>
  <c r="O31" i="1"/>
  <c r="N37" i="2"/>
  <c r="O312" i="3"/>
  <c r="O331" i="12"/>
  <c r="L290" i="2"/>
  <c r="O290" i="2" s="1"/>
  <c r="P66" i="15"/>
  <c r="O41" i="5"/>
  <c r="O66" i="15"/>
  <c r="O94" i="17"/>
  <c r="O22" i="7"/>
  <c r="L12" i="4"/>
  <c r="L10" i="4" s="1"/>
  <c r="O68" i="4"/>
  <c r="O94" i="12"/>
  <c r="O43" i="5"/>
  <c r="L12" i="9"/>
  <c r="L10" i="9" s="1"/>
  <c r="P68" i="1"/>
  <c r="L12" i="3"/>
  <c r="L10" i="3" s="1"/>
  <c r="O329" i="16"/>
  <c r="O22" i="9"/>
  <c r="O22" i="3"/>
  <c r="O252" i="10"/>
  <c r="L140" i="2"/>
  <c r="O140" i="2" s="1"/>
  <c r="O273" i="11"/>
  <c r="N37" i="12"/>
  <c r="O292" i="10"/>
  <c r="O271" i="13"/>
  <c r="O220" i="3"/>
  <c r="O53" i="9"/>
  <c r="L66" i="13"/>
  <c r="O66" i="13" s="1"/>
  <c r="O68" i="9"/>
  <c r="L66" i="9"/>
  <c r="O66" i="9" s="1"/>
  <c r="O140" i="12"/>
  <c r="N8" i="12"/>
  <c r="L220" i="10"/>
  <c r="O220" i="10" s="1"/>
  <c r="N220" i="1"/>
  <c r="L220" i="6"/>
  <c r="O220" i="6" s="1"/>
  <c r="N18" i="9"/>
  <c r="P18" i="9" s="1"/>
  <c r="L94" i="15"/>
  <c r="O94" i="15" s="1"/>
  <c r="L220" i="18"/>
  <c r="O220" i="18" s="1"/>
  <c r="O96" i="6"/>
  <c r="N37" i="4"/>
  <c r="L310" i="9"/>
  <c r="O310" i="9" s="1"/>
  <c r="O94" i="4"/>
  <c r="P20" i="3"/>
  <c r="N37" i="5"/>
  <c r="L140" i="6"/>
  <c r="O140" i="6" s="1"/>
  <c r="L20" i="7"/>
  <c r="L18" i="7" s="1"/>
  <c r="O18" i="7" s="1"/>
  <c r="L140" i="16"/>
  <c r="O140" i="16" s="1"/>
  <c r="N28" i="1"/>
  <c r="L250" i="11"/>
  <c r="O250" i="11" s="1"/>
  <c r="N37" i="14"/>
  <c r="L20" i="13"/>
  <c r="L18" i="13" s="1"/>
  <c r="O18" i="13" s="1"/>
  <c r="O222" i="2"/>
  <c r="O22" i="2"/>
  <c r="L12" i="13"/>
  <c r="O12" i="13" s="1"/>
  <c r="P18" i="13"/>
  <c r="L20" i="2"/>
  <c r="L18" i="2" s="1"/>
  <c r="O18" i="2" s="1"/>
  <c r="P18" i="11"/>
  <c r="L94" i="5"/>
  <c r="O94" i="5" s="1"/>
  <c r="L118" i="6"/>
  <c r="O118" i="6" s="1"/>
  <c r="L28" i="11"/>
  <c r="O28" i="11" s="1"/>
  <c r="O43" i="15"/>
  <c r="L290" i="12"/>
  <c r="O290" i="12" s="1"/>
  <c r="L13" i="1"/>
  <c r="O13" i="1" s="1"/>
  <c r="L53" i="10"/>
  <c r="O53" i="10" s="1"/>
  <c r="O222" i="15"/>
  <c r="L220" i="15"/>
  <c r="O220" i="15" s="1"/>
  <c r="P142" i="1"/>
  <c r="L271" i="18"/>
  <c r="O271" i="18" s="1"/>
  <c r="P331" i="1"/>
  <c r="L329" i="14"/>
  <c r="O329" i="14" s="1"/>
  <c r="L9" i="10"/>
  <c r="O9" i="10" s="1"/>
  <c r="L310" i="15"/>
  <c r="O310" i="15" s="1"/>
  <c r="L120" i="1"/>
  <c r="O120" i="1" s="1"/>
  <c r="M310" i="1"/>
  <c r="O22" i="12"/>
  <c r="N37" i="16"/>
  <c r="L28" i="14"/>
  <c r="O28" i="14" s="1"/>
  <c r="N66" i="1"/>
  <c r="L20" i="4"/>
  <c r="O20" i="4" s="1"/>
  <c r="P220" i="16"/>
  <c r="N28" i="10"/>
  <c r="O252" i="6"/>
  <c r="L20" i="12"/>
  <c r="O20" i="12" s="1"/>
  <c r="O29" i="11"/>
  <c r="L41" i="4"/>
  <c r="O41" i="4" s="1"/>
  <c r="O41" i="7"/>
  <c r="P20" i="17"/>
  <c r="L140" i="3"/>
  <c r="O140" i="3" s="1"/>
  <c r="L12" i="11"/>
  <c r="O12" i="11" s="1"/>
  <c r="O66" i="16"/>
  <c r="M37" i="13"/>
  <c r="L290" i="5"/>
  <c r="O290" i="5" s="1"/>
  <c r="O22" i="11"/>
  <c r="L66" i="5"/>
  <c r="O66" i="5" s="1"/>
  <c r="L250" i="18"/>
  <c r="O250" i="18" s="1"/>
  <c r="O273" i="2"/>
  <c r="L271" i="2"/>
  <c r="O271" i="2" s="1"/>
  <c r="N8" i="14"/>
  <c r="L118" i="17"/>
  <c r="O118" i="17" s="1"/>
  <c r="M37" i="2"/>
  <c r="L41" i="8"/>
  <c r="O41" i="8" s="1"/>
  <c r="L250" i="16"/>
  <c r="O250" i="16" s="1"/>
  <c r="L312" i="1"/>
  <c r="O312" i="1" s="1"/>
  <c r="O43" i="3"/>
  <c r="L140" i="15"/>
  <c r="O140" i="15" s="1"/>
  <c r="N37" i="3"/>
  <c r="O34" i="1"/>
  <c r="P329" i="7"/>
  <c r="M37" i="14"/>
  <c r="L118" i="11"/>
  <c r="O118" i="11" s="1"/>
  <c r="N11" i="1"/>
  <c r="N9" i="1" s="1"/>
  <c r="N8" i="10"/>
  <c r="P8" i="10" s="1"/>
  <c r="L94" i="9"/>
  <c r="O94" i="9" s="1"/>
  <c r="L290" i="3"/>
  <c r="O290" i="3" s="1"/>
  <c r="L20" i="8"/>
  <c r="O20" i="8" s="1"/>
  <c r="L12" i="15"/>
  <c r="O12" i="15" s="1"/>
  <c r="L28" i="12"/>
  <c r="O28" i="12" s="1"/>
  <c r="L12" i="16"/>
  <c r="L10" i="16" s="1"/>
  <c r="O10" i="16" s="1"/>
  <c r="L329" i="6"/>
  <c r="O329" i="6" s="1"/>
  <c r="L94" i="16"/>
  <c r="O94" i="16" s="1"/>
  <c r="O22" i="8"/>
  <c r="L20" i="15"/>
  <c r="L18" i="15" s="1"/>
  <c r="O18" i="15" s="1"/>
  <c r="L250" i="2"/>
  <c r="O250" i="2" s="1"/>
  <c r="O22" i="16"/>
  <c r="M329" i="1"/>
  <c r="O43" i="12"/>
  <c r="O55" i="2"/>
  <c r="N329" i="1"/>
  <c r="O292" i="7"/>
  <c r="L290" i="7"/>
  <c r="O290" i="7" s="1"/>
  <c r="L29" i="1"/>
  <c r="O29" i="1" s="1"/>
  <c r="L273" i="1"/>
  <c r="O273" i="1" s="1"/>
  <c r="O250" i="12"/>
  <c r="P20" i="6"/>
  <c r="L9" i="11"/>
  <c r="O9" i="11" s="1"/>
  <c r="P12" i="11"/>
  <c r="N8" i="17"/>
  <c r="P18" i="7"/>
  <c r="P273" i="1"/>
  <c r="N310" i="1"/>
  <c r="O292" i="4"/>
  <c r="L290" i="4"/>
  <c r="O290" i="4" s="1"/>
  <c r="O273" i="9"/>
  <c r="L271" i="9"/>
  <c r="O271" i="9" s="1"/>
  <c r="L9" i="4"/>
  <c r="O9" i="4" s="1"/>
  <c r="O11" i="4"/>
  <c r="L310" i="2"/>
  <c r="O310" i="2" s="1"/>
  <c r="O312" i="2"/>
  <c r="O292" i="17"/>
  <c r="L290" i="17"/>
  <c r="O290" i="17" s="1"/>
  <c r="P55" i="1"/>
  <c r="M53" i="1"/>
  <c r="P53" i="1" s="1"/>
  <c r="M37" i="8"/>
  <c r="L12" i="17"/>
  <c r="O12" i="17" s="1"/>
  <c r="O22" i="5"/>
  <c r="N8" i="4"/>
  <c r="N8" i="11"/>
  <c r="O120" i="10"/>
  <c r="L118" i="10"/>
  <c r="O118" i="10" s="1"/>
  <c r="L20" i="17"/>
  <c r="O20" i="17" s="1"/>
  <c r="P312" i="1"/>
  <c r="M18" i="17"/>
  <c r="P18" i="17" s="1"/>
  <c r="P20" i="12"/>
  <c r="P20" i="7"/>
  <c r="O271" i="8"/>
  <c r="P41" i="12"/>
  <c r="O68" i="8"/>
  <c r="P20" i="11"/>
  <c r="L96" i="1"/>
  <c r="O96" i="1" s="1"/>
  <c r="L220" i="8"/>
  <c r="O220" i="8" s="1"/>
  <c r="O222" i="8"/>
  <c r="L220" i="16"/>
  <c r="O220" i="16" s="1"/>
  <c r="O222" i="16"/>
  <c r="O252" i="7"/>
  <c r="L250" i="7"/>
  <c r="O250" i="7" s="1"/>
  <c r="P20" i="13"/>
  <c r="L310" i="12"/>
  <c r="O310" i="12" s="1"/>
  <c r="L290" i="6"/>
  <c r="O290" i="6" s="1"/>
  <c r="P96" i="1"/>
  <c r="O68" i="12"/>
  <c r="L66" i="12"/>
  <c r="O66" i="12" s="1"/>
  <c r="O120" i="4"/>
  <c r="L118" i="4"/>
  <c r="O118" i="4" s="1"/>
  <c r="O252" i="14"/>
  <c r="L250" i="14"/>
  <c r="O250" i="14" s="1"/>
  <c r="O312" i="13"/>
  <c r="L310" i="13"/>
  <c r="O310" i="13" s="1"/>
  <c r="L220" i="11"/>
  <c r="O220" i="11" s="1"/>
  <c r="O222" i="11"/>
  <c r="L9" i="9"/>
  <c r="O9" i="9" s="1"/>
  <c r="N8" i="16"/>
  <c r="L28" i="9"/>
  <c r="O28" i="9" s="1"/>
  <c r="M18" i="2"/>
  <c r="P18" i="2" s="1"/>
  <c r="L292" i="1"/>
  <c r="O292" i="1" s="1"/>
  <c r="N37" i="6"/>
  <c r="L222" i="1"/>
  <c r="O222" i="1" s="1"/>
  <c r="O94" i="18"/>
  <c r="P292" i="1"/>
  <c r="L271" i="14"/>
  <c r="O271" i="14" s="1"/>
  <c r="L290" i="11"/>
  <c r="O290" i="11" s="1"/>
  <c r="M271" i="1"/>
  <c r="L14" i="1"/>
  <c r="O14" i="1" s="1"/>
  <c r="N94" i="1"/>
  <c r="M250" i="1"/>
  <c r="P120" i="1"/>
  <c r="L20" i="5"/>
  <c r="L18" i="5" s="1"/>
  <c r="O18" i="5" s="1"/>
  <c r="O68" i="2"/>
  <c r="L66" i="2"/>
  <c r="O66" i="2" s="1"/>
  <c r="P252" i="1"/>
  <c r="N37" i="18"/>
  <c r="P310" i="4"/>
  <c r="M10" i="8"/>
  <c r="P12" i="8"/>
  <c r="N8" i="7"/>
  <c r="O312" i="12"/>
  <c r="M18" i="12"/>
  <c r="P18" i="12" s="1"/>
  <c r="L53" i="13"/>
  <c r="O53" i="13" s="1"/>
  <c r="O11" i="8"/>
  <c r="L9" i="8"/>
  <c r="O9" i="8" s="1"/>
  <c r="O96" i="3"/>
  <c r="L94" i="3"/>
  <c r="O94" i="3" s="1"/>
  <c r="O142" i="10"/>
  <c r="L140" i="10"/>
  <c r="O140" i="10" s="1"/>
  <c r="O41" i="12"/>
  <c r="P20" i="4"/>
  <c r="M66" i="1"/>
  <c r="M94" i="1"/>
  <c r="O273" i="6"/>
  <c r="L271" i="6"/>
  <c r="O271" i="6" s="1"/>
  <c r="O29" i="8"/>
  <c r="L28" i="8"/>
  <c r="O28" i="8" s="1"/>
  <c r="O142" i="8"/>
  <c r="L140" i="8"/>
  <c r="O140" i="8" s="1"/>
  <c r="O28" i="13"/>
  <c r="M37" i="9"/>
  <c r="P37" i="9" s="1"/>
  <c r="O11" i="18"/>
  <c r="L9" i="18"/>
  <c r="O9" i="18" s="1"/>
  <c r="P41" i="11"/>
  <c r="M37" i="11"/>
  <c r="P37" i="11" s="1"/>
  <c r="P12" i="9"/>
  <c r="N10" i="9"/>
  <c r="N8" i="9" s="1"/>
  <c r="N271" i="1"/>
  <c r="O55" i="3"/>
  <c r="L53" i="3"/>
  <c r="O53" i="3" s="1"/>
  <c r="N12" i="1"/>
  <c r="N10" i="1" s="1"/>
  <c r="P20" i="8"/>
  <c r="N18" i="8"/>
  <c r="P18" i="8" s="1"/>
  <c r="O29" i="10"/>
  <c r="L28" i="10"/>
  <c r="L331" i="1"/>
  <c r="O331" i="1" s="1"/>
  <c r="N20" i="1"/>
  <c r="N18" i="1" s="1"/>
  <c r="L329" i="17"/>
  <c r="O329" i="17" s="1"/>
  <c r="O11" i="12"/>
  <c r="L9" i="12"/>
  <c r="O9" i="12" s="1"/>
  <c r="O11" i="17"/>
  <c r="L9" i="17"/>
  <c r="O9" i="17" s="1"/>
  <c r="L28" i="18"/>
  <c r="O28" i="18" s="1"/>
  <c r="O29" i="18"/>
  <c r="O29" i="15"/>
  <c r="L28" i="15"/>
  <c r="O28" i="15" s="1"/>
  <c r="O11" i="7"/>
  <c r="L9" i="7"/>
  <c r="O9" i="7" s="1"/>
  <c r="O142" i="4"/>
  <c r="L140" i="4"/>
  <c r="O140" i="4" s="1"/>
  <c r="O11" i="13"/>
  <c r="L9" i="13"/>
  <c r="O9" i="13" s="1"/>
  <c r="N10" i="8"/>
  <c r="N8" i="8" s="1"/>
  <c r="O11" i="3"/>
  <c r="L9" i="3"/>
  <c r="O9" i="3" s="1"/>
  <c r="O142" i="13"/>
  <c r="L140" i="13"/>
  <c r="O140" i="13" s="1"/>
  <c r="P140" i="14"/>
  <c r="M140" i="1"/>
  <c r="N8" i="13"/>
  <c r="O96" i="2"/>
  <c r="L94" i="2"/>
  <c r="O94" i="2" s="1"/>
  <c r="O11" i="14"/>
  <c r="L9" i="14"/>
  <c r="O9" i="14" s="1"/>
  <c r="P10" i="11"/>
  <c r="N37" i="8"/>
  <c r="O11" i="6"/>
  <c r="L9" i="6"/>
  <c r="P12" i="3"/>
  <c r="M10" i="3"/>
  <c r="P10" i="3" s="1"/>
  <c r="O57" i="1"/>
  <c r="L55" i="1"/>
  <c r="O29" i="5"/>
  <c r="L28" i="5"/>
  <c r="O28" i="5" s="1"/>
  <c r="P12" i="5"/>
  <c r="M10" i="5"/>
  <c r="P10" i="5" s="1"/>
  <c r="P53" i="17"/>
  <c r="M37" i="17"/>
  <c r="P41" i="18"/>
  <c r="M37" i="18"/>
  <c r="P20" i="18"/>
  <c r="M18" i="18"/>
  <c r="P18" i="18" s="1"/>
  <c r="O41" i="2"/>
  <c r="O20" i="3"/>
  <c r="L18" i="3"/>
  <c r="O18" i="3" s="1"/>
  <c r="P8" i="15"/>
  <c r="O142" i="5"/>
  <c r="L140" i="5"/>
  <c r="O140" i="5" s="1"/>
  <c r="M18" i="3"/>
  <c r="P18" i="3" s="1"/>
  <c r="P53" i="5"/>
  <c r="M37" i="5"/>
  <c r="O12" i="7"/>
  <c r="L10" i="7"/>
  <c r="N37" i="7"/>
  <c r="P20" i="10"/>
  <c r="O252" i="4"/>
  <c r="L250" i="4"/>
  <c r="L252" i="1"/>
  <c r="O252" i="1" s="1"/>
  <c r="O68" i="3"/>
  <c r="L66" i="3"/>
  <c r="L68" i="1"/>
  <c r="O68" i="1" s="1"/>
  <c r="L142" i="1"/>
  <c r="O142" i="1" s="1"/>
  <c r="M8" i="9"/>
  <c r="P9" i="9"/>
  <c r="P9" i="14"/>
  <c r="O43" i="18"/>
  <c r="L41" i="18"/>
  <c r="O55" i="5"/>
  <c r="L53" i="5"/>
  <c r="O12" i="12"/>
  <c r="L10" i="12"/>
  <c r="O22" i="14"/>
  <c r="L12" i="14"/>
  <c r="L20" i="14"/>
  <c r="P12" i="18"/>
  <c r="M10" i="18"/>
  <c r="P10" i="18" s="1"/>
  <c r="P9" i="3"/>
  <c r="O29" i="6"/>
  <c r="L28" i="6"/>
  <c r="O28" i="6" s="1"/>
  <c r="P9" i="5"/>
  <c r="L10" i="5"/>
  <c r="O10" i="5" s="1"/>
  <c r="O12" i="5"/>
  <c r="P10" i="10"/>
  <c r="O11" i="2"/>
  <c r="L9" i="2"/>
  <c r="P140" i="7"/>
  <c r="O140" i="14"/>
  <c r="P41" i="2"/>
  <c r="O11" i="1"/>
  <c r="L9" i="1"/>
  <c r="L28" i="4"/>
  <c r="O28" i="4" s="1"/>
  <c r="L28" i="3"/>
  <c r="O28" i="3" s="1"/>
  <c r="O30" i="17"/>
  <c r="L28" i="17"/>
  <c r="O28" i="17" s="1"/>
  <c r="O41" i="3"/>
  <c r="O41" i="9"/>
  <c r="O11" i="5"/>
  <c r="L9" i="5"/>
  <c r="M18" i="6"/>
  <c r="P18" i="6" s="1"/>
  <c r="L43" i="1"/>
  <c r="L22" i="1"/>
  <c r="O45" i="1"/>
  <c r="O20" i="9"/>
  <c r="L18" i="9"/>
  <c r="P12" i="6"/>
  <c r="M10" i="6"/>
  <c r="P12" i="12"/>
  <c r="M10" i="12"/>
  <c r="P10" i="12" s="1"/>
  <c r="O55" i="14"/>
  <c r="L53" i="14"/>
  <c r="O26" i="1"/>
  <c r="L16" i="1"/>
  <c r="O16" i="1" s="1"/>
  <c r="P22" i="1"/>
  <c r="M12" i="1"/>
  <c r="M20" i="1"/>
  <c r="P9" i="4"/>
  <c r="P9" i="11"/>
  <c r="M8" i="11"/>
  <c r="P12" i="10"/>
  <c r="L28" i="2"/>
  <c r="O28" i="2" s="1"/>
  <c r="O29" i="2"/>
  <c r="O20" i="11"/>
  <c r="L18" i="11"/>
  <c r="O18" i="11" s="1"/>
  <c r="P41" i="15"/>
  <c r="M37" i="15"/>
  <c r="P9" i="18"/>
  <c r="P9" i="1"/>
  <c r="O12" i="2"/>
  <c r="L10" i="2"/>
  <c r="O10" i="2" s="1"/>
  <c r="M37" i="12"/>
  <c r="P9" i="13"/>
  <c r="M118" i="1"/>
  <c r="P20" i="16"/>
  <c r="M18" i="16"/>
  <c r="P18" i="16" s="1"/>
  <c r="O271" i="3"/>
  <c r="O55" i="6"/>
  <c r="L53" i="6"/>
  <c r="O53" i="6" s="1"/>
  <c r="L10" i="8"/>
  <c r="O12" i="8"/>
  <c r="P9" i="16"/>
  <c r="O19" i="1"/>
  <c r="O22" i="10"/>
  <c r="L12" i="10"/>
  <c r="L20" i="10"/>
  <c r="P18" i="15"/>
  <c r="O41" i="17"/>
  <c r="N37" i="17"/>
  <c r="P41" i="17"/>
  <c r="P9" i="17"/>
  <c r="O11" i="16"/>
  <c r="L9" i="16"/>
  <c r="O22" i="6"/>
  <c r="L12" i="6"/>
  <c r="L20" i="6"/>
  <c r="P12" i="13"/>
  <c r="M10" i="13"/>
  <c r="P10" i="13" s="1"/>
  <c r="L28" i="16"/>
  <c r="O28" i="16" s="1"/>
  <c r="O29" i="16"/>
  <c r="O43" i="6"/>
  <c r="L41" i="6"/>
  <c r="M18" i="4"/>
  <c r="P18" i="4" s="1"/>
  <c r="P20" i="14"/>
  <c r="M18" i="14"/>
  <c r="P18" i="14" s="1"/>
  <c r="P12" i="16"/>
  <c r="M10" i="16"/>
  <c r="P10" i="16" s="1"/>
  <c r="M37" i="10"/>
  <c r="P37" i="10" s="1"/>
  <c r="P12" i="15"/>
  <c r="P53" i="16"/>
  <c r="M37" i="16"/>
  <c r="P43" i="1"/>
  <c r="N41" i="1"/>
  <c r="P9" i="7"/>
  <c r="O43" i="10"/>
  <c r="L41" i="10"/>
  <c r="P20" i="15"/>
  <c r="P12" i="17"/>
  <c r="M10" i="17"/>
  <c r="P10" i="17" s="1"/>
  <c r="P290" i="6"/>
  <c r="M37" i="6"/>
  <c r="P12" i="4"/>
  <c r="M10" i="4"/>
  <c r="P10" i="4" s="1"/>
  <c r="P220" i="2"/>
  <c r="M220" i="1"/>
  <c r="P20" i="5"/>
  <c r="M18" i="5"/>
  <c r="P18" i="5" s="1"/>
  <c r="O9" i="15"/>
  <c r="P9" i="2"/>
  <c r="M37" i="3"/>
  <c r="L28" i="7"/>
  <c r="O28" i="7" s="1"/>
  <c r="L18" i="16"/>
  <c r="O18" i="16" s="1"/>
  <c r="O20" i="16"/>
  <c r="N140" i="1"/>
  <c r="P12" i="7"/>
  <c r="M10" i="7"/>
  <c r="P10" i="7" s="1"/>
  <c r="P18" i="10"/>
  <c r="P9" i="12"/>
  <c r="P12" i="14"/>
  <c r="M10" i="14"/>
  <c r="P10" i="14" s="1"/>
  <c r="O32" i="1"/>
  <c r="L30" i="1"/>
  <c r="O30" i="1" s="1"/>
  <c r="P12" i="2"/>
  <c r="M10" i="2"/>
  <c r="P10" i="2" s="1"/>
  <c r="M37" i="7"/>
  <c r="P10" i="15"/>
  <c r="P66" i="4"/>
  <c r="M37" i="4"/>
  <c r="M290" i="1"/>
  <c r="P290" i="1" s="1"/>
  <c r="L20" i="18"/>
  <c r="L12" i="18"/>
  <c r="O22" i="18"/>
  <c r="P37" i="5" l="1"/>
  <c r="L18" i="12"/>
  <c r="O18" i="12" s="1"/>
  <c r="P250" i="1"/>
  <c r="P37" i="16"/>
  <c r="O12" i="4"/>
  <c r="P37" i="15"/>
  <c r="O12" i="3"/>
  <c r="P37" i="2"/>
  <c r="P37" i="13"/>
  <c r="P37" i="12"/>
  <c r="L10" i="11"/>
  <c r="L8" i="11" s="1"/>
  <c r="O8" i="11" s="1"/>
  <c r="P37" i="14"/>
  <c r="O20" i="7"/>
  <c r="P220" i="1"/>
  <c r="O20" i="2"/>
  <c r="L10" i="15"/>
  <c r="O10" i="15" s="1"/>
  <c r="P37" i="4"/>
  <c r="P37" i="6"/>
  <c r="O12" i="16"/>
  <c r="O20" i="15"/>
  <c r="O12" i="9"/>
  <c r="O18" i="9"/>
  <c r="L10" i="13"/>
  <c r="O10" i="13" s="1"/>
  <c r="L37" i="15"/>
  <c r="O37" i="15" s="1"/>
  <c r="L18" i="4"/>
  <c r="O18" i="4" s="1"/>
  <c r="L18" i="8"/>
  <c r="O18" i="8" s="1"/>
  <c r="O20" i="13"/>
  <c r="O28" i="10"/>
  <c r="P8" i="11"/>
  <c r="P310" i="1"/>
  <c r="L37" i="9"/>
  <c r="O37" i="9" s="1"/>
  <c r="N8" i="1"/>
  <c r="M8" i="12"/>
  <c r="P8" i="12" s="1"/>
  <c r="L8" i="9"/>
  <c r="O8" i="9" s="1"/>
  <c r="P66" i="1"/>
  <c r="L18" i="17"/>
  <c r="O18" i="17" s="1"/>
  <c r="O20" i="5"/>
  <c r="P329" i="1"/>
  <c r="P37" i="7"/>
  <c r="P37" i="3"/>
  <c r="L10" i="17"/>
  <c r="L8" i="17" s="1"/>
  <c r="O8" i="17" s="1"/>
  <c r="L290" i="1"/>
  <c r="O290" i="1" s="1"/>
  <c r="P37" i="8"/>
  <c r="L37" i="13"/>
  <c r="O37" i="13" s="1"/>
  <c r="L329" i="1"/>
  <c r="O329" i="1" s="1"/>
  <c r="L37" i="12"/>
  <c r="O37" i="12" s="1"/>
  <c r="L37" i="11"/>
  <c r="O37" i="11" s="1"/>
  <c r="P37" i="18"/>
  <c r="L37" i="8"/>
  <c r="O37" i="8" s="1"/>
  <c r="L37" i="17"/>
  <c r="O37" i="17" s="1"/>
  <c r="L37" i="16"/>
  <c r="O37" i="16" s="1"/>
  <c r="L118" i="1"/>
  <c r="O118" i="1" s="1"/>
  <c r="P8" i="9"/>
  <c r="L220" i="1"/>
  <c r="O220" i="1" s="1"/>
  <c r="P271" i="1"/>
  <c r="L37" i="7"/>
  <c r="O37" i="7" s="1"/>
  <c r="P140" i="1"/>
  <c r="L37" i="2"/>
  <c r="O37" i="2" s="1"/>
  <c r="L310" i="1"/>
  <c r="O310" i="1" s="1"/>
  <c r="M8" i="2"/>
  <c r="P8" i="2" s="1"/>
  <c r="L271" i="1"/>
  <c r="O271" i="1" s="1"/>
  <c r="M8" i="5"/>
  <c r="P8" i="5" s="1"/>
  <c r="M8" i="3"/>
  <c r="P8" i="3" s="1"/>
  <c r="P94" i="1"/>
  <c r="L140" i="1"/>
  <c r="O140" i="1" s="1"/>
  <c r="P10" i="9"/>
  <c r="M8" i="14"/>
  <c r="P8" i="14" s="1"/>
  <c r="P37" i="17"/>
  <c r="M8" i="18"/>
  <c r="P8" i="18" s="1"/>
  <c r="M8" i="4"/>
  <c r="P8" i="4" s="1"/>
  <c r="L94" i="1"/>
  <c r="O94" i="1" s="1"/>
  <c r="O10" i="9"/>
  <c r="P10" i="8"/>
  <c r="M8" i="8"/>
  <c r="P8" i="8" s="1"/>
  <c r="O9" i="5"/>
  <c r="L8" i="5"/>
  <c r="O8" i="5" s="1"/>
  <c r="O66" i="3"/>
  <c r="L66" i="1"/>
  <c r="O66" i="1" s="1"/>
  <c r="N37" i="1"/>
  <c r="P41" i="1"/>
  <c r="M8" i="7"/>
  <c r="P8" i="7" s="1"/>
  <c r="P12" i="1"/>
  <c r="M10" i="1"/>
  <c r="O55" i="1"/>
  <c r="L53" i="1"/>
  <c r="O53" i="1" s="1"/>
  <c r="M8" i="13"/>
  <c r="P8" i="13" s="1"/>
  <c r="L8" i="16"/>
  <c r="O8" i="16" s="1"/>
  <c r="O9" i="16"/>
  <c r="O10" i="8"/>
  <c r="L8" i="8"/>
  <c r="O8" i="8" s="1"/>
  <c r="L20" i="1"/>
  <c r="O22" i="1"/>
  <c r="L12" i="1"/>
  <c r="O10" i="3"/>
  <c r="L8" i="3"/>
  <c r="O8" i="3" s="1"/>
  <c r="O20" i="14"/>
  <c r="L18" i="14"/>
  <c r="O18" i="14" s="1"/>
  <c r="L37" i="18"/>
  <c r="O37" i="18" s="1"/>
  <c r="O41" i="18"/>
  <c r="O20" i="18"/>
  <c r="L18" i="18"/>
  <c r="O18" i="18" s="1"/>
  <c r="M8" i="17"/>
  <c r="P8" i="17" s="1"/>
  <c r="M8" i="16"/>
  <c r="P8" i="16" s="1"/>
  <c r="P10" i="6"/>
  <c r="M8" i="6"/>
  <c r="P8" i="6" s="1"/>
  <c r="O43" i="1"/>
  <c r="L41" i="1"/>
  <c r="L10" i="14"/>
  <c r="O12" i="14"/>
  <c r="O53" i="5"/>
  <c r="L37" i="5"/>
  <c r="O37" i="5" s="1"/>
  <c r="O10" i="7"/>
  <c r="L8" i="7"/>
  <c r="O8" i="7" s="1"/>
  <c r="L37" i="10"/>
  <c r="O37" i="10" s="1"/>
  <c r="O41" i="10"/>
  <c r="O20" i="6"/>
  <c r="L18" i="6"/>
  <c r="O18" i="6" s="1"/>
  <c r="O20" i="10"/>
  <c r="L18" i="10"/>
  <c r="O18" i="10" s="1"/>
  <c r="O250" i="4"/>
  <c r="L250" i="1"/>
  <c r="O250" i="1" s="1"/>
  <c r="L37" i="6"/>
  <c r="O37" i="6" s="1"/>
  <c r="O41" i="6"/>
  <c r="L10" i="18"/>
  <c r="O12" i="18"/>
  <c r="P118" i="1"/>
  <c r="M37" i="1"/>
  <c r="O10" i="4"/>
  <c r="L8" i="4"/>
  <c r="O8" i="4" s="1"/>
  <c r="O53" i="14"/>
  <c r="L37" i="14"/>
  <c r="O37" i="14" s="1"/>
  <c r="O9" i="1"/>
  <c r="O9" i="6"/>
  <c r="L10" i="6"/>
  <c r="O10" i="6" s="1"/>
  <c r="O12" i="6"/>
  <c r="O12" i="10"/>
  <c r="L10" i="10"/>
  <c r="P20" i="1"/>
  <c r="M18" i="1"/>
  <c r="P18" i="1" s="1"/>
  <c r="L28" i="1"/>
  <c r="O28" i="1" s="1"/>
  <c r="L37" i="3"/>
  <c r="O37" i="3" s="1"/>
  <c r="L8" i="2"/>
  <c r="O8" i="2" s="1"/>
  <c r="O9" i="2"/>
  <c r="O10" i="12"/>
  <c r="L8" i="12"/>
  <c r="O8" i="12" s="1"/>
  <c r="L37" i="4"/>
  <c r="O37" i="4" s="1"/>
  <c r="O10" i="11" l="1"/>
  <c r="L8" i="15"/>
  <c r="O8" i="15" s="1"/>
  <c r="O10" i="17"/>
  <c r="L8" i="13"/>
  <c r="O8" i="13" s="1"/>
  <c r="L8" i="6"/>
  <c r="O8" i="6" s="1"/>
  <c r="P37" i="1"/>
  <c r="P10" i="1"/>
  <c r="M8" i="1"/>
  <c r="P8" i="1" s="1"/>
  <c r="O12" i="1"/>
  <c r="L10" i="1"/>
  <c r="O10" i="14"/>
  <c r="L8" i="14"/>
  <c r="O8" i="14" s="1"/>
  <c r="O20" i="1"/>
  <c r="L18" i="1"/>
  <c r="O18" i="1" s="1"/>
  <c r="O10" i="10"/>
  <c r="L8" i="10"/>
  <c r="O8" i="10" s="1"/>
  <c r="O41" i="1"/>
  <c r="L37" i="1"/>
  <c r="O37" i="1" s="1"/>
  <c r="O10" i="18"/>
  <c r="L8" i="18"/>
  <c r="O8" i="18" s="1"/>
  <c r="O10" i="1" l="1"/>
  <c r="L8" i="1"/>
  <c r="O8" i="1" s="1"/>
</calcChain>
</file>

<file path=xl/sharedStrings.xml><?xml version="1.0" encoding="utf-8"?>
<sst xmlns="http://schemas.openxmlformats.org/spreadsheetml/2006/main" count="22500" uniqueCount="273">
  <si>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</si>
  <si>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</si>
  <si>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</si>
  <si>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</si>
  <si>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</si>
  <si>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</si>
  <si>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</si>
  <si>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</si>
  <si>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</si>
  <si>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</si>
  <si>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</si>
  <si>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</si>
  <si>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</si>
  <si>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</si>
  <si>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</si>
  <si>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</si>
  <si>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</si>
  <si>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</si>
  <si>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</si>
  <si>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</si>
  <si>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</si>
  <si>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</si>
  <si>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</si>
  <si>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</si>
  <si>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</si>
  <si>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</si>
  <si>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</si>
  <si>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</si>
  <si>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</si>
  <si>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</si>
  <si>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</si>
  <si>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</si>
  <si>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</si>
  <si>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</si>
  <si>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</si>
  <si>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</si>
  <si>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</si>
  <si>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</si>
  <si>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</si>
  <si>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</si>
  <si>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</si>
  <si>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</si>
  <si>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</si>
  <si>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</si>
  <si>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</si>
  <si>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</si>
  <si>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</si>
  <si>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</si>
  <si>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</si>
  <si>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</si>
  <si>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</si>
  <si>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</si>
  <si>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</si>
  <si>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</si>
  <si>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</si>
  <si>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</si>
  <si>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</si>
  <si>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</si>
  <si>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</si>
  <si>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</si>
  <si>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</si>
  <si>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</si>
  <si>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</si>
  <si>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</si>
  <si>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</si>
  <si>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</si>
  <si>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</si>
  <si>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</si>
  <si>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</si>
  <si>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</si>
  <si>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</si>
  <si>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</si>
  <si>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</si>
  <si>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</si>
  <si>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</si>
  <si>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</si>
  <si>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</si>
  <si>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</si>
  <si>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</si>
  <si>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</si>
  <si>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</si>
  <si>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</si>
  <si>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</si>
  <si>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</si>
  <si>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</si>
  <si>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</si>
  <si>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</si>
  <si>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</si>
  <si>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</si>
  <si>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</si>
  <si>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</si>
  <si>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</si>
  <si>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</si>
  <si>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</si>
  <si>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</si>
  <si>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</si>
  <si>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</si>
  <si>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</si>
  <si>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</si>
  <si>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</si>
  <si>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</si>
  <si>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</si>
  <si>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</si>
  <si>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</si>
  <si>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</si>
  <si>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</si>
  <si>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</si>
  <si>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</si>
  <si>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</si>
  <si>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</si>
  <si>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</si>
  <si>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</si>
  <si>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</si>
  <si>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</si>
  <si>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</si>
  <si>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</si>
  <si>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</si>
  <si>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</si>
  <si>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</si>
  <si>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</si>
  <si>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</si>
  <si>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</si>
  <si>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</si>
  <si>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</si>
  <si>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</si>
  <si>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</si>
  <si>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</si>
  <si>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</si>
  <si>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</si>
  <si>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</si>
  <si>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</si>
  <si>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</si>
  <si>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</si>
  <si>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</si>
  <si>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</si>
  <si>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</si>
  <si>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</si>
  <si>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</si>
  <si>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</si>
  <si>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</si>
  <si>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</si>
  <si>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</si>
  <si>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</si>
  <si>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</si>
  <si>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</si>
  <si>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</si>
  <si>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</si>
  <si>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</si>
  <si>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</si>
  <si>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</si>
  <si>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</si>
  <si>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</si>
  <si>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</si>
  <si>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</si>
  <si>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</si>
  <si>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</si>
  <si>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</si>
  <si>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</si>
  <si>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</si>
  <si>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</si>
  <si>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</si>
  <si>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</si>
  <si>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</si>
  <si>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</si>
  <si>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</si>
  <si>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</si>
  <si>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</si>
  <si>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</si>
  <si>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</si>
  <si>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</si>
  <si>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</si>
  <si>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</si>
  <si>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</si>
  <si>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</si>
  <si>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</si>
  <si>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</si>
  <si>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</si>
  <si>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</si>
  <si>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</si>
  <si>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</si>
  <si>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</si>
  <si>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</si>
  <si>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</si>
  <si>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</si>
  <si>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</si>
  <si>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</si>
  <si>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</si>
  <si>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</si>
  <si>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</si>
  <si>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</si>
  <si>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</si>
  <si>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</si>
  <si>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</si>
  <si>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</si>
  <si>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</si>
  <si>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</si>
  <si>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</si>
  <si>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</si>
  <si>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</si>
  <si>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</si>
  <si>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</si>
  <si>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</si>
  <si>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</si>
  <si>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</si>
  <si>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</si>
  <si>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</si>
  <si>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</si>
  <si>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</si>
  <si>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</si>
  <si>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</si>
  <si>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</si>
  <si>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</si>
  <si>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</si>
  <si>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</si>
  <si>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</si>
  <si>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</si>
  <si>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</si>
  <si>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</si>
  <si>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</si>
  <si>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</si>
  <si>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</si>
  <si>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</si>
  <si>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</si>
  <si>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</si>
  <si>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</si>
  <si>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</si>
  <si>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</si>
  <si>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</si>
  <si>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</si>
  <si>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</si>
  <si>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</si>
  <si>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</si>
  <si>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</si>
  <si>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</si>
  <si>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</si>
  <si>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</si>
  <si>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</si>
  <si>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</si>
  <si>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</si>
  <si>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</si>
  <si>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</si>
  <si>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</si>
  <si>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</si>
  <si>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</si>
  <si>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</si>
  <si>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</si>
  <si>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</si>
  <si>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</si>
  <si>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</si>
  <si>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</si>
  <si>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</si>
  <si>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</si>
  <si>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</si>
  <si>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</si>
  <si>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</si>
  <si>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</si>
  <si>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</si>
  <si>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</si>
  <si>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</si>
  <si>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</si>
  <si>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</si>
  <si>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</si>
  <si>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</si>
  <si>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</si>
  <si>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</si>
  <si>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</si>
  <si>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</si>
  <si>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</si>
  <si>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</si>
  <si>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</si>
  <si>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</si>
  <si>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</si>
  <si>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17 กุมภาพันธ์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</si>
</sst>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1" x14ac:knownFonts="1">
    <font>
      <sz val="11"/>
      <color theme="1"/>
      <name val="Arial"/>
    </font>
    <font>
      <b/>
      <sz val="15"/>
      <color theme="1"/>
      <name val="Calibri"/>
    </font>
    <font>
      <sz val="15"/>
      <color theme="1"/>
      <name val="Calibri"/>
    </font>
    <font>
      <b/>
      <sz val="15"/>
      <color theme="0"/>
      <name val="Calibri"/>
    </font>
    <font>
      <sz val="11"/>
      <name val="Arial"/>
    </font>
    <font>
      <b/>
      <sz val="15"/>
      <color rgb="FF000000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sz val="15"/>
      <color rgb="FF000000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sz val="15"/>
      <color rgb="FFFF0000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sz val="15"/>
      <color theme="0"/>
      <name val="Calibri"/>
    </font>
    <font>
      <b/>
      <u/>
      <sz val="15"/>
      <color rgb="FFCC4125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55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11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14" fillId="2" borderId="30" xfId="0" quotePrefix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6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5" fillId="8" borderId="5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4" fillId="0" borderId="14" xfId="0" applyFont="1" applyBorder="1"/>
    <xf numFmtId="0" fontId="7" fillId="2" borderId="18" xfId="0" applyFont="1" applyFill="1" applyBorder="1" applyAlignment="1">
      <alignment horizontal="left"/>
    </xf>
    <xf numFmtId="0" fontId="4" fillId="0" borderId="18" xfId="0" applyFont="1" applyBorder="1"/>
    <xf numFmtId="0" fontId="5" fillId="11" borderId="5" xfId="0" applyFont="1" applyFill="1" applyBorder="1" applyAlignment="1">
      <alignment horizontal="left"/>
    </xf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10" fillId="15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  <xf numFmtId="0" fontId="13" fillId="2" borderId="14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70" zoomScaleNormal="100" zoomScaleSheetLayoutView="70" workbookViewId="0">
      <pane ySplit="6" topLeftCell="A7" activePane="bottomLeft" state="frozen"/>
      <selection activeCell="J9" sqref="J9"/>
      <selection pane="bottomLeft" sqref="A1:O1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9" width="15.25" bestFit="1" customWidth="1"/>
    <col min="10" max="10" width="14.25" bestFit="1" customWidth="1"/>
    <col min="11" max="11" width="9.5" bestFit="1" customWidth="1"/>
    <col min="12" max="12" width="19.08203125" bestFit="1" customWidth="1"/>
    <col min="13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1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119505224</v>
      </c>
      <c r="M8" s="25">
        <f t="shared" ca="1" si="0"/>
        <v>31754391</v>
      </c>
      <c r="N8" s="25">
        <f t="shared" ca="1" si="0"/>
        <v>41562952.07</v>
      </c>
      <c r="O8" s="24">
        <f t="shared" ref="O8:O16" ca="1" si="1">IF(L8&gt;0,N8*100/L8,0)</f>
        <v>34.779192640147684</v>
      </c>
      <c r="P8" s="24">
        <f t="shared" ref="P8:P16" ca="1" si="2">IF(M8&gt;0,N8*100/M8,0)</f>
        <v>130.88883383088657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119505224</v>
      </c>
      <c r="M10" s="32">
        <f t="shared" ca="1" si="4"/>
        <v>31754391</v>
      </c>
      <c r="N10" s="32">
        <f t="shared" ca="1" si="4"/>
        <v>41562952.07</v>
      </c>
      <c r="O10" s="31">
        <f t="shared" ca="1" si="1"/>
        <v>34.779192640147684</v>
      </c>
      <c r="P10" s="31">
        <f t="shared" ca="1" si="2"/>
        <v>130.88883383088657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97968624</v>
      </c>
      <c r="M12" s="40">
        <f t="shared" ca="1" si="6"/>
        <v>31754391</v>
      </c>
      <c r="N12" s="40">
        <f t="shared" ca="1" si="6"/>
        <v>27215602.07</v>
      </c>
      <c r="O12" s="40">
        <f t="shared" ca="1" si="1"/>
        <v>27.779916629226108</v>
      </c>
      <c r="P12" s="40">
        <f t="shared" ca="1" si="2"/>
        <v>85.7065785642055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35134700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62833924</v>
      </c>
      <c r="M14" s="40">
        <f t="shared" si="8"/>
        <v>0</v>
      </c>
      <c r="N14" s="40">
        <f t="shared" ca="1" si="8"/>
        <v>6141561.0700000003</v>
      </c>
      <c r="O14" s="43">
        <f t="shared" ca="1" si="1"/>
        <v>9.7742758672846861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21536600</v>
      </c>
      <c r="M16" s="40">
        <f t="shared" si="10"/>
        <v>0</v>
      </c>
      <c r="N16" s="40">
        <f t="shared" ca="1" si="10"/>
        <v>14347350</v>
      </c>
      <c r="O16" s="52">
        <f t="shared" ca="1" si="1"/>
        <v>66.618454166395807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79796440</v>
      </c>
      <c r="M18" s="25">
        <f t="shared" ca="1" si="11"/>
        <v>31754391</v>
      </c>
      <c r="N18" s="25">
        <f t="shared" ca="1" si="11"/>
        <v>35421391</v>
      </c>
      <c r="O18" s="24">
        <f t="shared" ref="O18:O26" ca="1" si="12">IF(L18&gt;0,N18*100/L18,0)</f>
        <v>44.389688311909651</v>
      </c>
      <c r="P18" s="24">
        <f t="shared" ref="P18:P26" ca="1" si="13">IF(M18&gt;0,N18*100/M18,0)</f>
        <v>111.54800921863058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79796440</v>
      </c>
      <c r="M20" s="32">
        <f t="shared" ca="1" si="15"/>
        <v>31754391</v>
      </c>
      <c r="N20" s="32">
        <f t="shared" ca="1" si="15"/>
        <v>35421391</v>
      </c>
      <c r="O20" s="31">
        <f t="shared" ca="1" si="12"/>
        <v>44.389688311909651</v>
      </c>
      <c r="P20" s="31">
        <f t="shared" ca="1" si="13"/>
        <v>111.54800921863058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si="12"/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7">L45+L57+L70+L98+L122+L144+L224+L254+L275+L294+L314+L333</f>
        <v>58259840</v>
      </c>
      <c r="M22" s="44">
        <f t="shared" ca="1" si="17"/>
        <v>31754391</v>
      </c>
      <c r="N22" s="43">
        <f t="shared" ca="1" si="17"/>
        <v>21074041</v>
      </c>
      <c r="O22" s="43">
        <f t="shared" ca="1" si="12"/>
        <v>36.172500645384538</v>
      </c>
      <c r="P22" s="43">
        <f t="shared" ca="1" si="13"/>
        <v>66.365753951949515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8">L46+L58+L71+L99+L123+L145+L225+L255+L276+L295+L315+L334</f>
        <v>35134700</v>
      </c>
      <c r="M23" s="44">
        <f t="shared" si="18"/>
        <v>0</v>
      </c>
      <c r="N23" s="43">
        <f t="shared" si="18"/>
        <v>0</v>
      </c>
      <c r="O23" s="43">
        <f t="shared" ca="1" si="12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19">L47+L59+L72+L100+L124+L146+L226+L256+L277+L296+L316+L335</f>
        <v>23125140</v>
      </c>
      <c r="M24" s="44">
        <f t="shared" si="19"/>
        <v>0</v>
      </c>
      <c r="N24" s="43">
        <f t="shared" si="19"/>
        <v>0</v>
      </c>
      <c r="O24" s="43">
        <f t="shared" ca="1" si="12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0">L48+L60+L73+L101+L125+L147+L227+L257+L278+L297+L317+L336</f>
        <v>0</v>
      </c>
      <c r="M25" s="44">
        <f t="shared" si="20"/>
        <v>0</v>
      </c>
      <c r="N25" s="44">
        <f t="shared" si="20"/>
        <v>0</v>
      </c>
      <c r="O25" s="44">
        <f t="shared" si="12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1">L49+L61+L74+L102+L126+L148+L228+L258+L279+L298+L318+L337</f>
        <v>21536600</v>
      </c>
      <c r="M26" s="52">
        <f t="shared" si="21"/>
        <v>0</v>
      </c>
      <c r="N26" s="52">
        <f t="shared" ca="1" si="21"/>
        <v>14347350</v>
      </c>
      <c r="O26" s="52">
        <f t="shared" ca="1" si="12"/>
        <v>66.618454166395807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2">L29+L30</f>
        <v>39708784</v>
      </c>
      <c r="M28" s="25">
        <f t="shared" si="22"/>
        <v>0</v>
      </c>
      <c r="N28" s="25">
        <f t="shared" ca="1" si="22"/>
        <v>6141561.0700000003</v>
      </c>
      <c r="O28" s="24">
        <f t="shared" ref="O28:O30" ca="1" si="23">IF(L28&gt;0,N28*100/L28,0)</f>
        <v>15.466505018134024</v>
      </c>
      <c r="P28" s="24">
        <f t="shared" ref="P28:P37" si="24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5">L31+L35</f>
        <v>0</v>
      </c>
      <c r="M29" s="32">
        <f t="shared" si="25"/>
        <v>0</v>
      </c>
      <c r="N29" s="32">
        <f t="shared" ca="1" si="25"/>
        <v>0</v>
      </c>
      <c r="O29" s="31">
        <f t="shared" ca="1" si="23"/>
        <v>0</v>
      </c>
      <c r="P29" s="31">
        <f t="shared" si="24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6">L32+L36</f>
        <v>39708784</v>
      </c>
      <c r="M30" s="32">
        <f t="shared" si="26"/>
        <v>0</v>
      </c>
      <c r="N30" s="32">
        <f t="shared" ca="1" si="26"/>
        <v>6141561.0700000003</v>
      </c>
      <c r="O30" s="31">
        <f t="shared" ca="1" si="23"/>
        <v>15.466505018134024</v>
      </c>
      <c r="P30" s="31">
        <f t="shared" si="24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7">L351+L382+L403+L436+L456+L534+L552+L565+L581+L598</f>
        <v>0</v>
      </c>
      <c r="M31" s="43">
        <f t="shared" si="27"/>
        <v>0</v>
      </c>
      <c r="N31" s="43">
        <f t="shared" ca="1" si="27"/>
        <v>0</v>
      </c>
      <c r="O31" s="43">
        <f t="shared" ref="O31:O37" ca="1" si="28">IF(L31&gt;0,N31*100/L31,0)</f>
        <v>0</v>
      </c>
      <c r="P31" s="43">
        <f t="shared" si="24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29">L352+L383+L404+L437+L457+L535+L553+L566+L582+L599</f>
        <v>39708784</v>
      </c>
      <c r="M32" s="43">
        <f t="shared" si="29"/>
        <v>0</v>
      </c>
      <c r="N32" s="43">
        <f t="shared" ca="1" si="29"/>
        <v>6141561.0700000003</v>
      </c>
      <c r="O32" s="43">
        <f t="shared" ca="1" si="28"/>
        <v>15.466505018134024</v>
      </c>
      <c r="P32" s="43">
        <f t="shared" si="24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0">L353+L384+L405+L438+L458+L536+L554+L567+L583+L600</f>
        <v>0</v>
      </c>
      <c r="M33" s="43">
        <f t="shared" si="30"/>
        <v>0</v>
      </c>
      <c r="N33" s="43">
        <f t="shared" ca="1" si="30"/>
        <v>0</v>
      </c>
      <c r="O33" s="43">
        <f t="shared" ca="1" si="28"/>
        <v>0</v>
      </c>
      <c r="P33" s="43">
        <f t="shared" si="24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1">L354+L385+L406+L439+L459+L537+L555+L568+L584+L601</f>
        <v>39708784</v>
      </c>
      <c r="M34" s="43">
        <f t="shared" si="31"/>
        <v>0</v>
      </c>
      <c r="N34" s="43">
        <f t="shared" ca="1" si="31"/>
        <v>6141561.0700000003</v>
      </c>
      <c r="O34" s="43">
        <f t="shared" ca="1" si="28"/>
        <v>15.466505018134024</v>
      </c>
      <c r="P34" s="43">
        <f t="shared" si="24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8"/>
        <v>0</v>
      </c>
      <c r="P35" s="44">
        <f t="shared" si="24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8"/>
        <v>0</v>
      </c>
      <c r="P36" s="52">
        <f t="shared" si="24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2">L41+L53+L66+L94+L118+L140+L220+L250+L271+L290+L310+L329</f>
        <v>79796440</v>
      </c>
      <c r="M37" s="57">
        <f t="shared" ca="1" si="32"/>
        <v>31754391</v>
      </c>
      <c r="N37" s="57">
        <f t="shared" ca="1" si="32"/>
        <v>35421391</v>
      </c>
      <c r="O37" s="58">
        <f t="shared" ca="1" si="28"/>
        <v>44.389688311909651</v>
      </c>
      <c r="P37" s="58">
        <f t="shared" ca="1" si="24"/>
        <v>111.54800921863058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3">L42+L43</f>
        <v>28183200</v>
      </c>
      <c r="M41" s="81">
        <f t="shared" ca="1" si="33"/>
        <v>6475640</v>
      </c>
      <c r="N41" s="81">
        <f t="shared" ca="1" si="33"/>
        <v>13448202</v>
      </c>
      <c r="O41" s="80">
        <f t="shared" ref="O41:O43" ca="1" si="34">IF(L41&gt;0,N41*100/L41,0)</f>
        <v>47.717086775100057</v>
      </c>
      <c r="P41" s="80">
        <f t="shared" ref="P41:P43" ca="1" si="35">IF(M41&gt;0,N41*100/M41,0)</f>
        <v>207.67371255968521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6">L44+L48</f>
        <v>0</v>
      </c>
      <c r="M42" s="81">
        <f t="shared" si="36"/>
        <v>0</v>
      </c>
      <c r="N42" s="81">
        <f t="shared" si="36"/>
        <v>0</v>
      </c>
      <c r="O42" s="80">
        <f t="shared" si="34"/>
        <v>0</v>
      </c>
      <c r="P42" s="80">
        <f t="shared" si="35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7">L45+L49</f>
        <v>28183200</v>
      </c>
      <c r="M43" s="81">
        <f t="shared" ca="1" si="37"/>
        <v>6475640</v>
      </c>
      <c r="N43" s="81">
        <f t="shared" ca="1" si="37"/>
        <v>13448202</v>
      </c>
      <c r="O43" s="80">
        <f t="shared" ca="1" si="34"/>
        <v>47.717086775100057</v>
      </c>
      <c r="P43" s="80">
        <f t="shared" ca="1" si="35"/>
        <v>207.67371255968521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12766200</v>
      </c>
      <c r="M45" s="93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6475640</v>
      </c>
      <c r="N45" s="93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4977672</v>
      </c>
      <c r="O45" s="94">
        <f ca="1">IF(L45&gt;0,N45*100/L45,0)</f>
        <v>38.991023170559757</v>
      </c>
      <c r="P45" s="94">
        <f ca="1">IF(M45&gt;0,N45*100/M45,0)</f>
        <v>76.867645514574619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12766200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15417000</v>
      </c>
      <c r="M49" s="103"/>
      <c r="N49" s="93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8470530</v>
      </c>
      <c r="O49" s="103">
        <f ca="1">IF(L49&gt;0,N49*100/L49,0)</f>
        <v>54.942790426152946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8">L54+L55</f>
        <v>8935700</v>
      </c>
      <c r="M53" s="127">
        <f t="shared" ca="1" si="38"/>
        <v>4699901</v>
      </c>
      <c r="N53" s="127">
        <f t="shared" ca="1" si="38"/>
        <v>3716071</v>
      </c>
      <c r="O53" s="126">
        <f t="shared" ref="O53:O55" ca="1" si="39">IF(L53&gt;0,N53*100/L53,0)</f>
        <v>41.586792305023671</v>
      </c>
      <c r="P53" s="126">
        <f t="shared" ref="P53:P55" ca="1" si="40">IF(M53&gt;0,N53*100/M53,0)</f>
        <v>79.067005879485549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1">L56+L60</f>
        <v>0</v>
      </c>
      <c r="M54" s="127">
        <f t="shared" si="41"/>
        <v>0</v>
      </c>
      <c r="N54" s="127">
        <f t="shared" si="41"/>
        <v>0</v>
      </c>
      <c r="O54" s="126">
        <f t="shared" si="39"/>
        <v>0</v>
      </c>
      <c r="P54" s="126">
        <f t="shared" si="40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2">L57+L61</f>
        <v>8935700</v>
      </c>
      <c r="M55" s="127">
        <f t="shared" ca="1" si="42"/>
        <v>4699901</v>
      </c>
      <c r="N55" s="127">
        <f t="shared" ca="1" si="42"/>
        <v>3716071</v>
      </c>
      <c r="O55" s="126">
        <f t="shared" ca="1" si="39"/>
        <v>41.586792305023671</v>
      </c>
      <c r="P55" s="126">
        <f t="shared" ca="1" si="40"/>
        <v>79.067005879485549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8935700</v>
      </c>
      <c r="M57" s="93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4699901</v>
      </c>
      <c r="N57" s="93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3716071</v>
      </c>
      <c r="O57" s="94">
        <f ca="1">IF(L57&gt;0,N57*100/L57,0)</f>
        <v>41.586792305023671</v>
      </c>
      <c r="P57" s="94">
        <f ca="1">IF(M57&gt;0,N57*100/M57,0)</f>
        <v>79.067005879485549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8935700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103"/>
      <c r="N61" s="93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8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10</v>
      </c>
      <c r="K64" s="149">
        <f t="shared" ref="K64:K65" ca="1" si="43">IF(I64&gt;0,J64*100/I64,0)</f>
        <v>76.92307692307692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8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513</v>
      </c>
      <c r="K65" s="149">
        <f t="shared" ca="1" si="43"/>
        <v>79.411764705882348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10940500</v>
      </c>
      <c r="M66" s="158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4057340</v>
      </c>
      <c r="N66" s="158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5796519</v>
      </c>
      <c r="O66" s="157">
        <f t="shared" ref="O66:O68" ca="1" si="44">IF(L66&gt;0,N66*100/L66,0)</f>
        <v>52.982212878753259</v>
      </c>
      <c r="P66" s="157">
        <f t="shared" ref="P66:P68" ca="1" si="45">IF(M66&gt;0,N66*100/M66,0)</f>
        <v>142.86500515115816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163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163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62">
        <f t="shared" si="44"/>
        <v>0</v>
      </c>
      <c r="P67" s="162">
        <f t="shared" si="45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10940500</v>
      </c>
      <c r="M68" s="163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4057340</v>
      </c>
      <c r="N68" s="163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5796519</v>
      </c>
      <c r="O68" s="162">
        <f t="shared" ca="1" si="44"/>
        <v>52.982212878753259</v>
      </c>
      <c r="P68" s="162">
        <f t="shared" ca="1" si="45"/>
        <v>142.86500515115816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72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72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7166900</v>
      </c>
      <c r="M70" s="176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4057340</v>
      </c>
      <c r="N70" s="177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2071919</v>
      </c>
      <c r="O70" s="178">
        <f ca="1">IF(L70&gt;0,N70*100/L70,0)</f>
        <v>28.909556433046365</v>
      </c>
      <c r="P70" s="178">
        <f ca="1">IF(M70&gt;0,N70*100/M70,0)</f>
        <v>51.065944682969629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5920200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3773600</v>
      </c>
      <c r="M74" s="103"/>
      <c r="N74" s="93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3724600</v>
      </c>
      <c r="O74" s="103">
        <f ca="1">IF(L74&gt;0,N74*100/L74,0)</f>
        <v>98.70150519397923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9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1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10</v>
      </c>
      <c r="K80" s="211">
        <f t="shared" ref="K80:K88" ca="1" si="46">IF(I80&gt;0,J80*100/I80,0)</f>
        <v>76.92307692307692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1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513</v>
      </c>
      <c r="K81" s="211">
        <f t="shared" ca="1" si="46"/>
        <v>79.411764705882348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1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3</v>
      </c>
      <c r="K82" s="171">
        <f t="shared" ca="1" si="46"/>
        <v>75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1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125</v>
      </c>
      <c r="K83" s="171">
        <f t="shared" ca="1" si="46"/>
        <v>80.645161290322577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9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2</v>
      </c>
      <c r="K84" s="171">
        <f t="shared" ca="1" si="46"/>
        <v>66.666666666666671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9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110</v>
      </c>
      <c r="K85" s="171">
        <f t="shared" ca="1" si="46"/>
        <v>73.333333333333329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1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5</v>
      </c>
      <c r="K86" s="171">
        <f t="shared" ca="1" si="46"/>
        <v>83.333333333333329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1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278</v>
      </c>
      <c r="K87" s="171">
        <f t="shared" ca="1" si="46"/>
        <v>81.524926686217015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155</v>
      </c>
      <c r="J88" s="21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0</v>
      </c>
      <c r="K88" s="171">
        <f t="shared" ca="1" si="46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8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23</v>
      </c>
      <c r="K92" s="149">
        <f t="shared" ref="K92:K93" ca="1" si="47">IF(I92&gt;0,J92*100/I92,0)</f>
        <v>46.938775510204081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8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1</v>
      </c>
      <c r="K93" s="149">
        <f t="shared" ca="1" si="47"/>
        <v>7.6923076923076925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2458380</v>
      </c>
      <c r="M94" s="158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723480</v>
      </c>
      <c r="N94" s="158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1311053</v>
      </c>
      <c r="O94" s="157">
        <f t="shared" ref="O94:O96" ca="1" si="48">IF(L94&gt;0,N94*100/L94,0)</f>
        <v>53.329957126237602</v>
      </c>
      <c r="P94" s="157">
        <f t="shared" ref="P94:P96" ca="1" si="49">IF(M94&gt;0,N94*100/M94,0)</f>
        <v>181.21482280090672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163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163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62">
        <f t="shared" si="48"/>
        <v>0</v>
      </c>
      <c r="P95" s="162">
        <f t="shared" si="49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2458380</v>
      </c>
      <c r="M96" s="163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723480</v>
      </c>
      <c r="N96" s="163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1311053</v>
      </c>
      <c r="O96" s="162">
        <f t="shared" ca="1" si="48"/>
        <v>53.329957126237602</v>
      </c>
      <c r="P96" s="162">
        <f t="shared" ca="1" si="49"/>
        <v>181.21482280090672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72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72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1257180</v>
      </c>
      <c r="M98" s="176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723480</v>
      </c>
      <c r="N98" s="177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202653</v>
      </c>
      <c r="O98" s="178">
        <f ca="1">IF(L98&gt;0,N98*100/L98,0)</f>
        <v>16.119648737650934</v>
      </c>
      <c r="P98" s="178">
        <f ca="1">IF(M98&gt;0,N98*100/M98,0)</f>
        <v>28.010864156576545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1257180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1201200</v>
      </c>
      <c r="M102" s="103"/>
      <c r="N102" s="93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1108400</v>
      </c>
      <c r="O102" s="103">
        <f ca="1">IF(L102&gt;0,N102*100/L102,0)</f>
        <v>92.27439227439227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9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9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1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6</v>
      </c>
      <c r="K108" s="233">
        <f t="shared" ref="K108:K113" ca="1" si="50">IF(I108&gt;0,J108*100/I108,0)</f>
        <v>60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1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23</v>
      </c>
      <c r="K109" s="233">
        <f t="shared" ca="1" si="50"/>
        <v>46.938775510204081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1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33">
        <f t="shared" ca="1" si="50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1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12</v>
      </c>
      <c r="K111" s="233">
        <f t="shared" ca="1" si="50"/>
        <v>24.489795918367346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1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0</v>
      </c>
      <c r="K112" s="233">
        <f t="shared" ca="1" si="50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1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1</v>
      </c>
      <c r="K113" s="233">
        <f t="shared" ca="1" si="50"/>
        <v>7.6923076923076925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8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210</v>
      </c>
      <c r="K117" s="149">
        <f ca="1">IF(I117&gt;0,J117*100/I117,0)</f>
        <v>105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824400</v>
      </c>
      <c r="M118" s="158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664400</v>
      </c>
      <c r="N118" s="158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518667</v>
      </c>
      <c r="O118" s="157">
        <f t="shared" ref="O118:O120" ca="1" si="51">IF(L118&gt;0,N118*100/L118,0)</f>
        <v>62.914483260553126</v>
      </c>
      <c r="P118" s="157">
        <f t="shared" ref="P118:P120" ca="1" si="52">IF(M118&gt;0,N118*100/M118,0)</f>
        <v>78.065472606863338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163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163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62">
        <f t="shared" si="51"/>
        <v>0</v>
      </c>
      <c r="P119" s="162">
        <f t="shared" si="52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824400</v>
      </c>
      <c r="M120" s="163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664400</v>
      </c>
      <c r="N120" s="163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518667</v>
      </c>
      <c r="O120" s="162">
        <f t="shared" ca="1" si="51"/>
        <v>62.914483260553126</v>
      </c>
      <c r="P120" s="162">
        <f t="shared" ca="1" si="52"/>
        <v>78.065472606863338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72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72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824400</v>
      </c>
      <c r="M122" s="176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664400</v>
      </c>
      <c r="N122" s="177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518667</v>
      </c>
      <c r="O122" s="178">
        <f ca="1">IF(L122&gt;0,N122*100/L122,0)</f>
        <v>62.914483260553126</v>
      </c>
      <c r="P122" s="178">
        <f ca="1">IF(M122&gt;0,N122*100/M122,0)</f>
        <v>78.065472606863338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824400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103"/>
      <c r="N126" s="93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69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10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10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8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1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210</v>
      </c>
      <c r="K132" s="233">
        <f t="shared" ref="K132:K133" ca="1" si="53">IF(I132&gt;0,J132*100/I132,0)</f>
        <v>105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1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60</v>
      </c>
      <c r="K133" s="233">
        <f t="shared" ca="1" si="53"/>
        <v>30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76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425</v>
      </c>
      <c r="K138" s="277">
        <f ca="1">IF(I138&gt;0,J138*100/I138,0)</f>
        <v>96.590909090909093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5884000</v>
      </c>
      <c r="M140" s="158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3208850</v>
      </c>
      <c r="N140" s="158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2217060</v>
      </c>
      <c r="O140" s="157">
        <f t="shared" ref="O140:O142" ca="1" si="54">IF(L140&gt;0,N140*100/L140,0)</f>
        <v>37.679469748470432</v>
      </c>
      <c r="P140" s="157">
        <f t="shared" ref="P140:P142" ca="1" si="55">IF(M140&gt;0,N140*100/M140,0)</f>
        <v>69.09204232045748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163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163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62">
        <f t="shared" si="54"/>
        <v>0</v>
      </c>
      <c r="P141" s="162">
        <f t="shared" si="55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5884000</v>
      </c>
      <c r="M142" s="163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3208850</v>
      </c>
      <c r="N142" s="163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2217060</v>
      </c>
      <c r="O142" s="162">
        <f t="shared" ca="1" si="54"/>
        <v>37.679469748470432</v>
      </c>
      <c r="P142" s="162">
        <f t="shared" ca="1" si="55"/>
        <v>69.09204232045748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72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72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5646000</v>
      </c>
      <c r="M144" s="176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3208850</v>
      </c>
      <c r="N144" s="177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1979060</v>
      </c>
      <c r="O144" s="178">
        <f ca="1">IF(L144&gt;0,N144*100/L144,0)</f>
        <v>35.052426496634787</v>
      </c>
      <c r="P144" s="178">
        <f ca="1">IF(M144&gt;0,N144*100/M144,0)</f>
        <v>61.675054926219673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3413200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103"/>
      <c r="N148" s="93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103">
        <f ca="1">IF(L148&gt;0,N148*100/L148,0)</f>
        <v>100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84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18</v>
      </c>
      <c r="K149" s="285">
        <f ca="1">IF(I149&gt;0,J149*100/I149,0)</f>
        <v>26.470588235294116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15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12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13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9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18</v>
      </c>
      <c r="K158" s="171">
        <f ca="1">IF(I158&gt;0,J158*100/I158,0)</f>
        <v>26.470588235294116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856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854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2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92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7</v>
      </c>
      <c r="K164" s="293">
        <f ca="1">IF(I164&gt;0,J164*100/I164,0)</f>
        <v>13.461538461538462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17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13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11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9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7</v>
      </c>
      <c r="K173" s="171">
        <f ca="1">IF(I173&gt;0,J173*100/I173,0)</f>
        <v>13.461538461538462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92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3</v>
      </c>
      <c r="K176" s="293">
        <f ca="1">IF(I176&gt;0,J176*100/I176,0)</f>
        <v>75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3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2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2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1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2</v>
      </c>
      <c r="K185" s="233">
        <f t="shared" ref="K185:K186" ca="1" si="56">IF(I185&gt;0,J185*100/I185,0)</f>
        <v>50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1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3</v>
      </c>
      <c r="K186" s="233">
        <f t="shared" ca="1" si="56"/>
        <v>75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92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3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14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11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9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9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564000</v>
      </c>
      <c r="K199" s="171">
        <f t="shared" ref="K199:K201" ca="1" si="57">IF(I199&gt;0,J199*100/I199,0)</f>
        <v>46.078431372549019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9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0</v>
      </c>
      <c r="K200" s="171">
        <f t="shared" ca="1" si="57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9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71">
        <f t="shared" ca="1" si="57"/>
        <v>100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92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365</v>
      </c>
      <c r="K204" s="293">
        <f ca="1">IF(I204&gt;0,J204*100/I204,0)</f>
        <v>96.05263157894737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1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365</v>
      </c>
      <c r="K213" s="233">
        <f ca="1">IF(I213&gt;0,J213*100/I213,0)</f>
        <v>96.05263157894737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9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1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0</v>
      </c>
      <c r="K215" s="233">
        <f t="shared" ref="K215:K216" ca="1" si="58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1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0</v>
      </c>
      <c r="K216" s="233">
        <f t="shared" ca="1" si="58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76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8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332510</v>
      </c>
      <c r="N220" s="158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305926</v>
      </c>
      <c r="O220" s="157">
        <f t="shared" ref="O220:O222" ca="1" si="59">IF(L220&gt;0,N220*100/L220,0)</f>
        <v>92.005052479624666</v>
      </c>
      <c r="P220" s="157">
        <f t="shared" ref="P220:P222" ca="1" si="60">IF(M220&gt;0,N220*100/M220,0)</f>
        <v>92.005052479624666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163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163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62">
        <f t="shared" si="59"/>
        <v>0</v>
      </c>
      <c r="P221" s="162">
        <f t="shared" si="60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163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332510</v>
      </c>
      <c r="N222" s="163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305926</v>
      </c>
      <c r="O222" s="162">
        <f t="shared" ca="1" si="59"/>
        <v>92.005052479624666</v>
      </c>
      <c r="P222" s="162">
        <f t="shared" ca="1" si="60"/>
        <v>92.005052479624666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72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72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76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332510</v>
      </c>
      <c r="N224" s="177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305926</v>
      </c>
      <c r="O224" s="178">
        <f ca="1">IF(L224&gt;0,N224*100/L224,0)</f>
        <v>92.005052479624666</v>
      </c>
      <c r="P224" s="178">
        <f ca="1">IF(M224&gt;0,N224*100/M224,0)</f>
        <v>92.005052479624666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103"/>
      <c r="N228" s="93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76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14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16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15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9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4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2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76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IFERROR(__xludf.DUMMYFUNCTION("IMPORTRANGE(""https://docs.google.com/spreadsheets/d/1SX6NBoVAgQJ6U1MVXOaj8PK2l7WJ3RER9xtqwdhxkhw/edit?usp=sharing"",""กาญจนบุรี!J159"")"),"")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9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24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100</v>
      </c>
      <c r="K249" s="325">
        <f ca="1">IF(I249&gt;0,J249*100/I249,0)</f>
        <v>55.555555555555557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8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570000</v>
      </c>
      <c r="N250" s="158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352839</v>
      </c>
      <c r="O250" s="157">
        <f t="shared" ref="O250:O252" ca="1" si="61">IF(L250&gt;0,N250*100/L250,0)</f>
        <v>31.335612788632329</v>
      </c>
      <c r="P250" s="157">
        <f t="shared" ref="P250:P252" ca="1" si="62">IF(M250&gt;0,N250*100/M250,0)</f>
        <v>61.901578947368421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163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163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62">
        <f t="shared" si="61"/>
        <v>0</v>
      </c>
      <c r="P251" s="162">
        <f t="shared" si="62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163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570000</v>
      </c>
      <c r="N252" s="163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352839</v>
      </c>
      <c r="O252" s="162">
        <f t="shared" ca="1" si="61"/>
        <v>31.335612788632329</v>
      </c>
      <c r="P252" s="162">
        <f t="shared" ca="1" si="62"/>
        <v>61.901578947368421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72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72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76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570000</v>
      </c>
      <c r="N254" s="177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352839</v>
      </c>
      <c r="O254" s="178">
        <f ca="1">IF(L254&gt;0,N254*100/L254,0)</f>
        <v>31.335612788632329</v>
      </c>
      <c r="P254" s="178">
        <f ca="1">IF(M254&gt;0,N254*100/M254,0)</f>
        <v>61.901578947368421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103"/>
      <c r="N258" s="93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8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7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7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9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8</v>
      </c>
      <c r="K264" s="171">
        <f t="shared" ref="K264:K267" ca="1" si="63">IF(I264&gt;0,J264*100/I264,0)</f>
        <v>100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9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100</v>
      </c>
      <c r="K265" s="171">
        <f t="shared" ca="1" si="63"/>
        <v>55.555555555555557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98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25</v>
      </c>
      <c r="K266" s="171">
        <f t="shared" ca="1" si="63"/>
        <v>13.888888888888889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9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6</v>
      </c>
      <c r="K267" s="171">
        <f t="shared" ca="1" si="63"/>
        <v>75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24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206</v>
      </c>
      <c r="K270" s="325">
        <f ca="1">IF(I270&gt;0,J270*100/I270,0)</f>
        <v>80.784313725490193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2476100</v>
      </c>
      <c r="M271" s="158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1339500</v>
      </c>
      <c r="N271" s="158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907060</v>
      </c>
      <c r="O271" s="157">
        <f t="shared" ref="O271:O273" ca="1" si="64">IF(L271&gt;0,N271*100/L271,0)</f>
        <v>36.632607729897821</v>
      </c>
      <c r="P271" s="157">
        <f t="shared" ref="P271:P273" ca="1" si="65">IF(M271&gt;0,N271*100/M271,0)</f>
        <v>67.716312056737593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163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163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62">
        <f t="shared" si="64"/>
        <v>0</v>
      </c>
      <c r="P272" s="162">
        <f t="shared" si="6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2476100</v>
      </c>
      <c r="M273" s="163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1339500</v>
      </c>
      <c r="N273" s="163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907060</v>
      </c>
      <c r="O273" s="162">
        <f t="shared" ca="1" si="64"/>
        <v>36.632607729897821</v>
      </c>
      <c r="P273" s="162">
        <f t="shared" ca="1" si="65"/>
        <v>67.716312056737593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72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72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2476100</v>
      </c>
      <c r="M275" s="176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1339500</v>
      </c>
      <c r="N275" s="177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907060</v>
      </c>
      <c r="O275" s="178">
        <f ca="1">IF(L275&gt;0,N275*100/L275,0)</f>
        <v>36.632607729897821</v>
      </c>
      <c r="P275" s="178">
        <f ca="1">IF(M275&gt;0,N275*100/M275,0)</f>
        <v>67.716312056737593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1420100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103"/>
      <c r="N279" s="93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14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13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9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206</v>
      </c>
      <c r="K285" s="171">
        <f ca="1">IF(I285&gt;0,J285*100/I285,0)</f>
        <v>80.784313725490193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24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8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55980</v>
      </c>
      <c r="N290" s="158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18360</v>
      </c>
      <c r="O290" s="157">
        <f t="shared" ref="O290:O292" ca="1" si="66">IF(L290&gt;0,N290*100/L290,0)</f>
        <v>15.203709837694602</v>
      </c>
      <c r="P290" s="157">
        <f t="shared" ref="P290:P292" ca="1" si="67">IF(M290&gt;0,N290*100/M290,0)</f>
        <v>32.79742765273312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163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163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62">
        <f t="shared" si="66"/>
        <v>0</v>
      </c>
      <c r="P291" s="162">
        <f t="shared" si="67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163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55980</v>
      </c>
      <c r="N292" s="163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18360</v>
      </c>
      <c r="O292" s="162">
        <f t="shared" ca="1" si="66"/>
        <v>15.203709837694602</v>
      </c>
      <c r="P292" s="162">
        <f t="shared" ca="1" si="67"/>
        <v>32.79742765273312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72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72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76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55980</v>
      </c>
      <c r="N294" s="177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18360</v>
      </c>
      <c r="O294" s="178">
        <f ca="1">IF(L294&gt;0,N294*100/L294,0)</f>
        <v>15.203709837694602</v>
      </c>
      <c r="P294" s="178">
        <f ca="1">IF(M294&gt;0,N294*100/M294,0)</f>
        <v>32.79742765273312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103"/>
      <c r="N298" s="93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1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1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IFERROR(__xludf.DUMMYFUNCTION("IMPORTRANGE(""https://docs.google.com/spreadsheets/d/1SX6NBoVAgQJ6U1MVXOaj8PK2l7WJ3RER9xtqwdhxkhw/edit?usp=sharing"",""กาญจนบุรี!J212"")"),0)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41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3</v>
      </c>
      <c r="K309" s="342">
        <f ca="1">IF(I309&gt;0,J309*100/I309,0)</f>
        <v>37.5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772800</v>
      </c>
      <c r="M310" s="158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506400</v>
      </c>
      <c r="N310" s="158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184635</v>
      </c>
      <c r="O310" s="157">
        <f t="shared" ref="O310:O312" ca="1" si="68">IF(L310&gt;0,N310*100/L310,0)</f>
        <v>23.891692546583851</v>
      </c>
      <c r="P310" s="157">
        <f t="shared" ref="P310:P312" ca="1" si="69">IF(M310&gt;0,N310*100/M310,0)</f>
        <v>36.460308056872037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163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163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62">
        <f t="shared" si="68"/>
        <v>0</v>
      </c>
      <c r="P311" s="162">
        <f t="shared" si="69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772800</v>
      </c>
      <c r="M312" s="163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506400</v>
      </c>
      <c r="N312" s="163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184635</v>
      </c>
      <c r="O312" s="162">
        <f t="shared" ca="1" si="68"/>
        <v>23.891692546583851</v>
      </c>
      <c r="P312" s="162">
        <f t="shared" ca="1" si="69"/>
        <v>36.460308056872037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72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72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772800</v>
      </c>
      <c r="M314" s="176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506400</v>
      </c>
      <c r="N314" s="177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184635</v>
      </c>
      <c r="O314" s="178">
        <f ca="1">IF(L314&gt;0,N314*100/L314,0)</f>
        <v>23.891692546583851</v>
      </c>
      <c r="P314" s="178">
        <f ca="1">IF(M314&gt;0,N314*100/M314,0)</f>
        <v>36.460308056872037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772800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103"/>
      <c r="N318" s="93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3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3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1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3</v>
      </c>
      <c r="K324" s="233">
        <f ca="1">IF(I324&gt;0,J324*100/I324,0)</f>
        <v>37.5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6310</v>
      </c>
      <c r="J328" s="347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902</v>
      </c>
      <c r="K328" s="325">
        <f ca="1">IF(I328&gt;0,J328*100/I328,0)</f>
        <v>14.294770206022188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17742090</v>
      </c>
      <c r="M329" s="158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9120390</v>
      </c>
      <c r="N329" s="158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6644999</v>
      </c>
      <c r="O329" s="157">
        <f t="shared" ref="O329:O331" ca="1" si="70">IF(L329&gt;0,N329*100/L329,0)</f>
        <v>37.45330454303862</v>
      </c>
      <c r="P329" s="157">
        <f t="shared" ref="P329:P331" ca="1" si="71">IF(M329&gt;0,N329*100/M329,0)</f>
        <v>72.858715471597151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163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163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62">
        <f t="shared" si="70"/>
        <v>0</v>
      </c>
      <c r="P330" s="162">
        <f t="shared" si="71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17742090</v>
      </c>
      <c r="M331" s="163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9120390</v>
      </c>
      <c r="N331" s="163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6644999</v>
      </c>
      <c r="O331" s="162">
        <f t="shared" ca="1" si="70"/>
        <v>37.45330454303862</v>
      </c>
      <c r="P331" s="162">
        <f t="shared" ca="1" si="71"/>
        <v>72.858715471597151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72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72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16835290</v>
      </c>
      <c r="M333" s="176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9120390</v>
      </c>
      <c r="N333" s="177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5839179</v>
      </c>
      <c r="O333" s="178">
        <f ca="1">IF(L333&gt;0,N333*100/L333,0)</f>
        <v>34.684160474812138</v>
      </c>
      <c r="P333" s="178">
        <f ca="1">IF(M333&gt;0,N333*100/M333,0)</f>
        <v>64.023347685789759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8201990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906800</v>
      </c>
      <c r="M337" s="103"/>
      <c r="N337" s="93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103">
        <f ca="1">IF(L337&gt;0,N337*100/L337,0)</f>
        <v>88.864137626819584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9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1580</v>
      </c>
      <c r="K339" s="350">
        <f t="shared" ref="K339:K346" ca="1" si="72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41170</v>
      </c>
      <c r="J340" s="19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12102.779999999997</v>
      </c>
      <c r="K340" s="350">
        <f t="shared" ca="1" si="72"/>
        <v>29.397085256254549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6310</v>
      </c>
      <c r="J341" s="19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1826</v>
      </c>
      <c r="K341" s="350">
        <f t="shared" ca="1" si="72"/>
        <v>28.938193343898575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9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17122.589999999986</v>
      </c>
      <c r="K342" s="350">
        <f t="shared" ca="1" si="72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6310</v>
      </c>
      <c r="J343" s="19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71</v>
      </c>
      <c r="K343" s="350">
        <f t="shared" ca="1" si="72"/>
        <v>1.1251980982567353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9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711.13</v>
      </c>
      <c r="K344" s="350">
        <f t="shared" ca="1" si="72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6310</v>
      </c>
      <c r="J345" s="19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902</v>
      </c>
      <c r="K345" s="350">
        <f t="shared" ca="1" si="72"/>
        <v>14.294770206022188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9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7771.8700000000017</v>
      </c>
      <c r="K346" s="359">
        <f t="shared" ca="1" si="72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39708784</v>
      </c>
      <c r="M347" s="366"/>
      <c r="N347" s="366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6141561.0699999994</v>
      </c>
      <c r="O347" s="366">
        <f ca="1">+IF(L347&gt;0,N347*100/L347,0)</f>
        <v>15.46650501813402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79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410</v>
      </c>
      <c r="K349" s="380">
        <f t="shared" ref="K349:K350" ca="1" si="73">IF(I349&gt;0,J349*100/I349,0)</f>
        <v>22.162162162162161</v>
      </c>
      <c r="L349" s="381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81"/>
      <c r="N349" s="381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1395758.06</v>
      </c>
      <c r="O349" s="381">
        <f ca="1">+IF(L349&gt;0,N349*100/L349,0)</f>
        <v>26.310732718807142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79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310</v>
      </c>
      <c r="K350" s="380">
        <f t="shared" ca="1" si="73"/>
        <v>39.240506329113927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72"/>
      <c r="N351" s="172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73">
        <f t="shared" ref="O351:O354" ca="1" si="74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73"/>
      <c r="N352" s="172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1395758.06</v>
      </c>
      <c r="O352" s="173">
        <f t="shared" ca="1" si="74"/>
        <v>26.310732718807142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78"/>
      <c r="N353" s="17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78">
        <f t="shared" ca="1" si="74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78"/>
      <c r="N354" s="175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1395758.06</v>
      </c>
      <c r="O354" s="178">
        <f t="shared" ca="1" si="74"/>
        <v>26.310732718807142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546699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261200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467471.06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120388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14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14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71">
        <f t="shared" ref="K367:K373" ca="1" si="75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9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310</v>
      </c>
      <c r="K368" s="171">
        <f t="shared" ca="1" si="75"/>
        <v>39.240506329113927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1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71">
        <f t="shared" ca="1" si="75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1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534</v>
      </c>
      <c r="K370" s="171">
        <f t="shared" ca="1" si="75"/>
        <v>67.594936708860757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9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71">
        <f t="shared" ca="1" si="75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9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310</v>
      </c>
      <c r="K372" s="171">
        <f t="shared" ca="1" si="75"/>
        <v>39.240506329113927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1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71">
        <f t="shared" ca="1" si="75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9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9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410</v>
      </c>
      <c r="K375" s="171">
        <f t="shared" ref="K375:K377" ca="1" si="76">IF(I375&gt;0,J375*100/I375,0)</f>
        <v>22.162162162162161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9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270</v>
      </c>
      <c r="K376" s="171">
        <f t="shared" ca="1" si="76"/>
        <v>35.15625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1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140</v>
      </c>
      <c r="K377" s="171">
        <f t="shared" ca="1" si="76"/>
        <v>12.939001848428836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1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79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1000</v>
      </c>
      <c r="K380" s="380">
        <f t="shared" ref="K380:K381" ca="1" si="77">IF(I380&gt;0,J380*100/I380,0)</f>
        <v>7.4074074074074074</v>
      </c>
      <c r="L380" s="381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81"/>
      <c r="N380" s="381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1309589.3700000001</v>
      </c>
      <c r="O380" s="381">
        <f ca="1">+IF(L380&gt;0,N380*100/L380,0)</f>
        <v>9.4861348177873719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79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730</v>
      </c>
      <c r="K381" s="380">
        <f t="shared" ca="1" si="77"/>
        <v>54.074074074074076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72"/>
      <c r="N382" s="172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73">
        <f t="shared" ref="O382:O385" ca="1" si="78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73"/>
      <c r="N383" s="173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1309589.3700000001</v>
      </c>
      <c r="O383" s="173">
        <f t="shared" ca="1" si="78"/>
        <v>9.4861348177873719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78"/>
      <c r="N384" s="17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78">
        <f t="shared" ca="1" si="78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78"/>
      <c r="N385" s="175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1309589.3700000001</v>
      </c>
      <c r="O385" s="178">
        <f t="shared" ca="1" si="78"/>
        <v>9.4861348177873719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776181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416189.37000000005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117219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17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16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15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20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730</v>
      </c>
      <c r="K396" s="171">
        <f t="shared" ref="K396:K398" ca="1" si="79">IF(I396&gt;0,J396*100/I396,0)</f>
        <v>54.074074074074076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20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1000</v>
      </c>
      <c r="K397" s="171">
        <f t="shared" ca="1" si="79"/>
        <v>7.4074074074074074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20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0</v>
      </c>
      <c r="K398" s="171">
        <f t="shared" ca="1" si="79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79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435</v>
      </c>
      <c r="K401" s="380">
        <f t="shared" ref="K401:K402" ca="1" si="80">IF(I401&gt;0,J401*100/I401,0)</f>
        <v>15.151515151515152</v>
      </c>
      <c r="L401" s="381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81"/>
      <c r="N401" s="381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705947</v>
      </c>
      <c r="O401" s="381">
        <f ca="1">+IF(L401&gt;0,N401*100/L401,0)</f>
        <v>21.879517250784126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79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250</v>
      </c>
      <c r="K402" s="380">
        <f t="shared" ca="1" si="80"/>
        <v>26.123301985370951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72"/>
      <c r="N403" s="17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78">
        <f t="shared" ref="O403:O406" ca="1" si="81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73"/>
      <c r="N404" s="17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705947</v>
      </c>
      <c r="O404" s="178">
        <f t="shared" ca="1" si="81"/>
        <v>21.879517250784126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78"/>
      <c r="N405" s="17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78">
        <f t="shared" ca="1" si="81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78"/>
      <c r="N406" s="17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705947</v>
      </c>
      <c r="O406" s="178">
        <f t="shared" ca="1" si="81"/>
        <v>21.879517250784126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614267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24475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67205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17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16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14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1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250</v>
      </c>
      <c r="K416" s="211">
        <f t="shared" ref="K416:K432" ca="1" si="82">IF(I416&gt;0,J416*100/I416,0)</f>
        <v>26.123301985370951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400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85</v>
      </c>
      <c r="K417" s="211">
        <f t="shared" ca="1" si="82"/>
        <v>42.5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401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165</v>
      </c>
      <c r="K418" s="211">
        <f t="shared" ca="1" si="82"/>
        <v>27.5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402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105</v>
      </c>
      <c r="K419" s="171">
        <f t="shared" ca="1" si="82"/>
        <v>52.5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402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140</v>
      </c>
      <c r="K420" s="296">
        <f t="shared" ca="1" si="82"/>
        <v>70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400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155</v>
      </c>
      <c r="K421" s="211">
        <f t="shared" ca="1" si="82"/>
        <v>27.00348432055749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401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240</v>
      </c>
      <c r="K422" s="211">
        <f t="shared" ca="1" si="82"/>
        <v>13.937282229965156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402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169</v>
      </c>
      <c r="K423" s="171">
        <f t="shared" ca="1" si="82"/>
        <v>29.442508710801395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402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155</v>
      </c>
      <c r="K424" s="171">
        <f t="shared" ca="1" si="82"/>
        <v>27.00348432055749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402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155</v>
      </c>
      <c r="K425" s="171">
        <f t="shared" ca="1" si="82"/>
        <v>27.00348432055749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400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10</v>
      </c>
      <c r="K426" s="211">
        <f t="shared" ca="1" si="82"/>
        <v>5.4644808743169397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401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30</v>
      </c>
      <c r="K427" s="211">
        <f t="shared" ca="1" si="82"/>
        <v>5.4644808743169397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402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30</v>
      </c>
      <c r="K428" s="171">
        <f t="shared" ca="1" si="82"/>
        <v>16.393442622950818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402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26</v>
      </c>
      <c r="K429" s="171">
        <f t="shared" ca="1" si="82"/>
        <v>14.207650273224044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400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0</v>
      </c>
      <c r="K430" s="211">
        <f t="shared" ca="1" si="82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402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10</v>
      </c>
      <c r="K431" s="171">
        <f t="shared" ca="1" si="82"/>
        <v>5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402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0</v>
      </c>
      <c r="K432" s="171">
        <f t="shared" ca="1" si="82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18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299</v>
      </c>
      <c r="K435" s="419">
        <f ca="1">IF(I435&gt;0,J435*100/I435,0)</f>
        <v>61.145194274028633</v>
      </c>
      <c r="L435" s="420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1912200</v>
      </c>
      <c r="M435" s="420"/>
      <c r="N435" s="420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695528.29</v>
      </c>
      <c r="O435" s="420">
        <f t="shared" ref="O435:O439" ca="1" si="83">+IF(L435&gt;0,N435*100/L435,0)</f>
        <v>36.373197887250285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72"/>
      <c r="N436" s="17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78">
        <f t="shared" ca="1" si="83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1912200</v>
      </c>
      <c r="M437" s="173"/>
      <c r="N437" s="17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695528.29</v>
      </c>
      <c r="O437" s="178">
        <f t="shared" ca="1" si="83"/>
        <v>36.373197887250285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78"/>
      <c r="N438" s="17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78">
        <f t="shared" ca="1" si="83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1912200</v>
      </c>
      <c r="M439" s="178"/>
      <c r="N439" s="17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695528.29</v>
      </c>
      <c r="O439" s="178">
        <f t="shared" ca="1" si="83"/>
        <v>36.373197887250285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594895.5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100632.79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17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17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15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1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299</v>
      </c>
      <c r="K449" s="171">
        <f t="shared" ref="K449:K452" ca="1" si="84">IF(I449&gt;0,J449*100/I449,0)</f>
        <v>61.145194274028633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9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280</v>
      </c>
      <c r="K450" s="171">
        <f t="shared" ca="1" si="84"/>
        <v>77.777777777777771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9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19</v>
      </c>
      <c r="K451" s="171">
        <f t="shared" ca="1" si="84"/>
        <v>14.728682170542635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197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71">
        <f t="shared" ca="1" si="84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1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753602</v>
      </c>
      <c r="J455" s="379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11307.029999999999</v>
      </c>
      <c r="K455" s="380">
        <f ca="1">IF(I455&gt;0,J455*100/I455,0)</f>
        <v>1.5003980881154775</v>
      </c>
      <c r="L455" s="381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7607158</v>
      </c>
      <c r="M455" s="381"/>
      <c r="N455" s="381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829064.19</v>
      </c>
      <c r="O455" s="381">
        <f t="shared" ref="O455:O459" ca="1" si="85">+IF(L455&gt;0,N455*100/L455,0)</f>
        <v>10.898474699749894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72"/>
      <c r="N456" s="17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78">
        <f t="shared" ca="1" si="85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7607158</v>
      </c>
      <c r="M457" s="173"/>
      <c r="N457" s="17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829064.19</v>
      </c>
      <c r="O457" s="178">
        <f t="shared" ca="1" si="85"/>
        <v>10.898474699749894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78"/>
      <c r="N458" s="17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78">
        <f t="shared" ca="1" si="85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7607158</v>
      </c>
      <c r="M459" s="178"/>
      <c r="N459" s="17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829064.19</v>
      </c>
      <c r="O459" s="178">
        <f t="shared" ca="1" si="85"/>
        <v>10.898474699749894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324357.19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504707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753602</v>
      </c>
      <c r="J464" s="276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11307.029999999999</v>
      </c>
      <c r="K464" s="277">
        <f t="shared" ref="K464:K515" ca="1" si="86">IF(I464&gt;0,J464*100/I464,0)</f>
        <v>1.5003980881154775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753602</v>
      </c>
      <c r="J465" s="428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455065.47999999986</v>
      </c>
      <c r="K465" s="211">
        <f t="shared" ca="1" si="86"/>
        <v>60.385386450672883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94924</v>
      </c>
      <c r="J466" s="428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47279</v>
      </c>
      <c r="K466" s="211">
        <f t="shared" ca="1" si="86"/>
        <v>49.807214192406555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9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344693.15</v>
      </c>
      <c r="K467" s="171">
        <f t="shared" ca="1" si="86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9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38434</v>
      </c>
      <c r="K468" s="171">
        <f t="shared" ca="1" si="86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9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100771.33</v>
      </c>
      <c r="K469" s="171">
        <f t="shared" ca="1" si="86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9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7886</v>
      </c>
      <c r="K470" s="171">
        <f t="shared" ca="1" si="86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9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9601</v>
      </c>
      <c r="K471" s="171">
        <f t="shared" ca="1" si="86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9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959</v>
      </c>
      <c r="K472" s="171">
        <f t="shared" ca="1" si="86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753602</v>
      </c>
      <c r="J473" s="428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20975.08</v>
      </c>
      <c r="K473" s="211">
        <f t="shared" ca="1" si="86"/>
        <v>2.7833100230625716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94924</v>
      </c>
      <c r="J474" s="428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4405</v>
      </c>
      <c r="K474" s="171">
        <f t="shared" ca="1" si="86"/>
        <v>4.6405545489022799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9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11276.029999999999</v>
      </c>
      <c r="K475" s="171">
        <f t="shared" ca="1" si="86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9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2545</v>
      </c>
      <c r="K476" s="171">
        <f t="shared" ca="1" si="86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9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9514.8799999999992</v>
      </c>
      <c r="K477" s="171">
        <f t="shared" ca="1" si="86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9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1809</v>
      </c>
      <c r="K478" s="171">
        <f t="shared" ca="1" si="86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9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184.17</v>
      </c>
      <c r="K479" s="171">
        <f t="shared" ca="1" si="86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9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51</v>
      </c>
      <c r="K480" s="171">
        <f t="shared" ca="1" si="86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753602</v>
      </c>
      <c r="J481" s="428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11307.029999999999</v>
      </c>
      <c r="K481" s="211">
        <f t="shared" ca="1" si="86"/>
        <v>1.5003980881154775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94924</v>
      </c>
      <c r="J482" s="428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2557</v>
      </c>
      <c r="K482" s="171">
        <f t="shared" ca="1" si="86"/>
        <v>2.6937339345160338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9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11276.029999999999</v>
      </c>
      <c r="K483" s="171">
        <f t="shared" ca="1" si="86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9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2545</v>
      </c>
      <c r="K484" s="171">
        <f t="shared" ca="1" si="86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9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13</v>
      </c>
      <c r="K485" s="171">
        <f t="shared" ca="1" si="86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9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8</v>
      </c>
      <c r="K486" s="171">
        <f t="shared" ca="1" si="86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28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18</v>
      </c>
      <c r="K487" s="171">
        <f t="shared" ca="1" si="86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28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4</v>
      </c>
      <c r="K488" s="171">
        <f t="shared" ca="1" si="86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9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18</v>
      </c>
      <c r="K489" s="171">
        <f t="shared" ca="1" si="86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9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4</v>
      </c>
      <c r="K490" s="171">
        <f t="shared" ca="1" si="86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9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0</v>
      </c>
      <c r="K491" s="171">
        <f t="shared" ca="1" si="86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9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0</v>
      </c>
      <c r="K492" s="171">
        <f t="shared" ca="1" si="86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9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0</v>
      </c>
      <c r="K493" s="171">
        <f t="shared" ca="1" si="86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44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0</v>
      </c>
      <c r="K494" s="296">
        <f t="shared" ca="1" si="86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44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71">
        <f t="shared" ca="1" si="86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44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96">
        <f t="shared" ca="1" si="86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43003</v>
      </c>
      <c r="J497" s="451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4144.9699999999993</v>
      </c>
      <c r="K497" s="452">
        <f t="shared" ca="1" si="86"/>
        <v>9.6387926423737866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43003</v>
      </c>
      <c r="J498" s="428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4144.9699999999993</v>
      </c>
      <c r="K498" s="171">
        <f t="shared" ca="1" si="86"/>
        <v>9.6387926423737866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3164</v>
      </c>
      <c r="J499" s="428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450</v>
      </c>
      <c r="K499" s="211">
        <f t="shared" ca="1" si="86"/>
        <v>14.222503160556258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70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3802.04</v>
      </c>
      <c r="K500" s="171">
        <f t="shared" ca="1" si="86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70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408</v>
      </c>
      <c r="K501" s="171">
        <f t="shared" ca="1" si="86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9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2478.04</v>
      </c>
      <c r="K502" s="171">
        <f t="shared" ca="1" si="86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20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252</v>
      </c>
      <c r="K503" s="171">
        <f t="shared" ca="1" si="86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9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1324</v>
      </c>
      <c r="K504" s="171">
        <f t="shared" ca="1" si="86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20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156</v>
      </c>
      <c r="K505" s="171">
        <f t="shared" ca="1" si="86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9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0</v>
      </c>
      <c r="K506" s="171">
        <f t="shared" ca="1" si="86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20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0</v>
      </c>
      <c r="K507" s="171">
        <f t="shared" ca="1" si="86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70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94.929999999999993</v>
      </c>
      <c r="K508" s="171">
        <f t="shared" ca="1" si="86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70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20</v>
      </c>
      <c r="K509" s="171">
        <f t="shared" ca="1" si="86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20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76.930000000000007</v>
      </c>
      <c r="K510" s="171">
        <f t="shared" ca="1" si="86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20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12</v>
      </c>
      <c r="K511" s="171">
        <f t="shared" ca="1" si="86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20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18</v>
      </c>
      <c r="K512" s="171">
        <f t="shared" ca="1" si="86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20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8</v>
      </c>
      <c r="K513" s="171">
        <f t="shared" ca="1" si="86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20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248</v>
      </c>
      <c r="K514" s="171">
        <f t="shared" ca="1" si="86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20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22</v>
      </c>
      <c r="K515" s="171">
        <f t="shared" ca="1" si="86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76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92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92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9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9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9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9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9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124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9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5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124</v>
      </c>
      <c r="J525" s="292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12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5</v>
      </c>
      <c r="J526" s="292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2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20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20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20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12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20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2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20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74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18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19">
        <f ca="1">IF(I533&gt;0,J533*100/I533,0)</f>
        <v>100</v>
      </c>
      <c r="L533" s="420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420"/>
      <c r="N533" s="420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392099.23999999987</v>
      </c>
      <c r="O533" s="420">
        <f t="shared" ref="O533:O537" ca="1" si="87">+IF(L533&gt;0,N533*100/L533,0)</f>
        <v>65.821594762464301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72"/>
      <c r="N534" s="17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78">
        <f t="shared" ca="1" si="87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73"/>
      <c r="N535" s="17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392099.23999999987</v>
      </c>
      <c r="O535" s="178">
        <f t="shared" ca="1" si="87"/>
        <v>65.821594762464301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78"/>
      <c r="N536" s="17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78">
        <f t="shared" ca="1" si="87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78"/>
      <c r="N537" s="17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392099.23999999987</v>
      </c>
      <c r="O537" s="178">
        <f t="shared" ca="1" si="87"/>
        <v>65.821594762464301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327274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64825.24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9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71">
        <f t="shared" ref="K547:K548" ca="1" si="88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71">
        <f t="shared" ca="1" si="88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2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18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2385</v>
      </c>
      <c r="K551" s="419">
        <f ca="1">IF(I551&gt;0,J551*100/I551,0)</f>
        <v>9.5399999999999991</v>
      </c>
      <c r="L551" s="420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20"/>
      <c r="N551" s="420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143714.41999999998</v>
      </c>
      <c r="O551" s="420">
        <f t="shared" ref="O551:O555" ca="1" si="89">+IF(L551&gt;0,N551*100/L551,0)</f>
        <v>9.3930993464052275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72"/>
      <c r="N552" s="17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78">
        <f t="shared" ca="1" si="89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73"/>
      <c r="N553" s="17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143714.41999999998</v>
      </c>
      <c r="O553" s="178">
        <f t="shared" ca="1" si="89"/>
        <v>9.3930993464052275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78"/>
      <c r="N554" s="17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78">
        <f t="shared" ca="1" si="89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78"/>
      <c r="N555" s="17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143714.41999999998</v>
      </c>
      <c r="O555" s="178">
        <f t="shared" ca="1" si="89"/>
        <v>9.3930993464052275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10800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132914.41999999998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70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2385</v>
      </c>
      <c r="K560" s="233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43.997777777777777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1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293</v>
      </c>
      <c r="K561" s="233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 t="str">
        <f ca="1">IFERROR(__xludf.DUMMYFUNCTION("IMPORTRANGE(""https://docs.google.com/spreadsheets/d/1SX6NBoVAgQJ6U1MVXOaj8PK2l7WJ3RER9xtqwdhxkhw/edit?usp=sharing"",""กาญจนบุรี!I457"")"),"")</f>
        <v/>
      </c>
      <c r="J562" s="213" t="str">
        <f ca="1">IFERROR(__xludf.DUMMYFUNCTION("IMPORTRANGE(""https://docs.google.com/spreadsheets/d/1SX6NBoVAgQJ6U1MVXOaj8PK2l7WJ3RER9xtqwdhxkhw/edit?usp=sharing"",""กาญจนบุรี!J457"")"),"")</f>
        <v/>
      </c>
      <c r="K562" s="171"/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 t="str">
        <f ca="1">IFERROR(__xludf.DUMMYFUNCTION("IMPORTRANGE(""https://docs.google.com/spreadsheets/d/1SX6NBoVAgQJ6U1MVXOaj8PK2l7WJ3RER9xtqwdhxkhw/edit?usp=sharing"",""กาญจนบุรี!I458"")"),"")</f>
        <v/>
      </c>
      <c r="J563" s="197" t="str">
        <f ca="1">IFERROR(__xludf.DUMMYFUNCTION("IMPORTRANGE(""https://docs.google.com/spreadsheets/d/1SX6NBoVAgQJ6U1MVXOaj8PK2l7WJ3RER9xtqwdhxkhw/edit?usp=sharing"",""กาญจนบุรี!J458"")"),"")</f>
        <v/>
      </c>
      <c r="K563" s="171"/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79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19829</v>
      </c>
      <c r="K564" s="380">
        <f ca="1">IF(I564&gt;0,J564*100/I564,0)</f>
        <v>60.918586789554531</v>
      </c>
      <c r="L564" s="381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81"/>
      <c r="N564" s="381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417990.86000000004</v>
      </c>
      <c r="O564" s="381">
        <f t="shared" ref="O564:O568" ca="1" si="90">+IF(L564&gt;0,N564*100/L564,0)</f>
        <v>17.546716425429025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72"/>
      <c r="N565" s="17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78">
        <f t="shared" ca="1" si="90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73"/>
      <c r="N566" s="17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417990.86000000004</v>
      </c>
      <c r="O566" s="178">
        <f t="shared" ca="1" si="90"/>
        <v>17.546716425429025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78"/>
      <c r="N567" s="17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78">
        <f t="shared" ca="1" si="90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78"/>
      <c r="N568" s="17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417990.86000000004</v>
      </c>
      <c r="O568" s="178">
        <f t="shared" ca="1" si="90"/>
        <v>17.546716425429025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314694.40000000002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103296.45999999999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28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19829</v>
      </c>
      <c r="K573" s="211">
        <f ca="1">IF(I573&gt;0,J573*100/I573,0)</f>
        <v>60.918586789554531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7</v>
      </c>
      <c r="J575" s="20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38</v>
      </c>
      <c r="K575" s="171">
        <f t="shared" ref="K575:K579" ca="1" si="91">IF(I575&gt;0,J575*100/I575,0)</f>
        <v>542.85714285714289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20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2106</v>
      </c>
      <c r="K576" s="171">
        <f t="shared" ca="1" si="91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9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17187</v>
      </c>
      <c r="K577" s="171">
        <f t="shared" ca="1" si="91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20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36</v>
      </c>
      <c r="K578" s="171">
        <f t="shared" ca="1" si="91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20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500</v>
      </c>
      <c r="K579" s="171">
        <f t="shared" ca="1" si="91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1696</v>
      </c>
      <c r="J580" s="379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34</v>
      </c>
      <c r="K580" s="380">
        <f ca="1">IF(I580&gt;0,J580*100/I580,0)</f>
        <v>2.0047169811320753</v>
      </c>
      <c r="L580" s="381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3209796</v>
      </c>
      <c r="M580" s="381"/>
      <c r="N580" s="381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228023.64</v>
      </c>
      <c r="O580" s="381">
        <f t="shared" ref="O580:O584" ca="1" si="92">+IF(L580&gt;0,N580*100/L580,0)</f>
        <v>7.1039916555444647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72"/>
      <c r="N581" s="17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78">
        <f t="shared" ca="1" si="92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3209796</v>
      </c>
      <c r="M582" s="173"/>
      <c r="N582" s="17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228023.64</v>
      </c>
      <c r="O582" s="178">
        <f t="shared" ca="1" si="92"/>
        <v>7.1039916555444647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78"/>
      <c r="N583" s="17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78">
        <f t="shared" ca="1" si="92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3209796</v>
      </c>
      <c r="M584" s="178"/>
      <c r="N584" s="17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228023.64</v>
      </c>
      <c r="O584" s="178">
        <f t="shared" ca="1" si="92"/>
        <v>7.1039916555444647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107072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120951.64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1696</v>
      </c>
      <c r="J589" s="19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333</v>
      </c>
      <c r="K589" s="171">
        <f t="shared" ref="K589:K596" ca="1" si="93">IF(I589&gt;0,J589*100/I589,0)</f>
        <v>19.634433962264151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9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235.07000000000005</v>
      </c>
      <c r="K590" s="487">
        <f t="shared" ca="1" si="93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1696</v>
      </c>
      <c r="J591" s="19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74</v>
      </c>
      <c r="K591" s="171">
        <f t="shared" ca="1" si="93"/>
        <v>4.3632075471698117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9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60.16</v>
      </c>
      <c r="K592" s="350">
        <f t="shared" ca="1" si="93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1696</v>
      </c>
      <c r="J593" s="19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4</v>
      </c>
      <c r="K593" s="171">
        <f t="shared" ca="1" si="93"/>
        <v>0.23584905660377359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9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3.07</v>
      </c>
      <c r="K594" s="350">
        <f t="shared" ca="1" si="93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1696</v>
      </c>
      <c r="J595" s="19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34</v>
      </c>
      <c r="K595" s="171">
        <f t="shared" ca="1" si="93"/>
        <v>2.0047169811320753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50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27.53</v>
      </c>
      <c r="K596" s="494">
        <f t="shared" ca="1" si="93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1470</v>
      </c>
      <c r="J597" s="495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19">
        <f ca="1">IF(I597&gt;0,J597*100/I597,0)</f>
        <v>0</v>
      </c>
      <c r="L597" s="420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135050</v>
      </c>
      <c r="M597" s="420"/>
      <c r="N597" s="420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23846</v>
      </c>
      <c r="O597" s="420">
        <f t="shared" ref="O597:O601" ca="1" si="94">+IF(L597&gt;0,N597*100/L597,0)</f>
        <v>17.657164013328398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72"/>
      <c r="N598" s="17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78">
        <f t="shared" ca="1" si="94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135050</v>
      </c>
      <c r="M599" s="173"/>
      <c r="N599" s="17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23846</v>
      </c>
      <c r="O599" s="178">
        <f t="shared" ca="1" si="94"/>
        <v>17.657164013328398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78"/>
      <c r="N600" s="17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78">
        <f t="shared" ca="1" si="94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135050</v>
      </c>
      <c r="M601" s="178"/>
      <c r="N601" s="17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23846</v>
      </c>
      <c r="O601" s="178">
        <f t="shared" ca="1" si="94"/>
        <v>17.657164013328398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22646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16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1470</v>
      </c>
      <c r="J611" s="170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71">
        <f t="shared" ref="K611:K619" ca="1" si="95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20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338.75</v>
      </c>
      <c r="K612" s="171">
        <f t="shared" ca="1" si="95"/>
        <v>23.044217687074831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20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50</v>
      </c>
      <c r="K613" s="171">
        <f t="shared" ca="1" si="95"/>
        <v>3.4013605442176869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20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147.80000000000001</v>
      </c>
      <c r="K614" s="171">
        <f t="shared" ca="1" si="95"/>
        <v>10.054421768707485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20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50</v>
      </c>
      <c r="K615" s="171">
        <f t="shared" ca="1" si="95"/>
        <v>3.4013605442176869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20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50</v>
      </c>
      <c r="K616" s="171">
        <f t="shared" ca="1" si="95"/>
        <v>3.4013605442176869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9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71">
        <f t="shared" ca="1" si="95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9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71">
        <f t="shared" ca="1" si="95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9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71">
        <f t="shared" ca="1" si="95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1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71">
        <f t="shared" ref="K620:K626" ca="1" si="96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1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71">
        <f t="shared" ca="1" si="96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9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71">
        <f t="shared" ca="1" si="96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9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71">
        <f t="shared" ca="1" si="96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9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100</v>
      </c>
      <c r="K624" s="171">
        <f t="shared" ca="1" si="96"/>
        <v>2.5018764073054789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9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71">
        <f t="shared" ca="1" si="96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9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71">
        <f t="shared" ca="1" si="96"/>
        <v>2.5018764073054789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103074459.59000002</v>
      </c>
      <c r="J628" s="349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13644234.09</v>
      </c>
      <c r="K628" s="350">
        <f t="shared" ref="K628:K635" ca="1" si="97">IF(I628&gt;0,J628*100/I628,0)</f>
        <v>13.237259884041849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4860</v>
      </c>
      <c r="J629" s="349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756</v>
      </c>
      <c r="K629" s="350">
        <f t="shared" ca="1" si="97"/>
        <v>15.555555555555555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111887936.91000001</v>
      </c>
      <c r="J630" s="349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4749614.8999999994</v>
      </c>
      <c r="K630" s="350">
        <f t="shared" ca="1" si="97"/>
        <v>4.2449749554507168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49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1090</v>
      </c>
      <c r="K631" s="350">
        <f t="shared" ca="1" si="97"/>
        <v>24.840474020054696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85273605.469999984</v>
      </c>
      <c r="J632" s="349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9088627.9100000001</v>
      </c>
      <c r="K632" s="350">
        <f t="shared" ca="1" si="97"/>
        <v>10.658195885944403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6362</v>
      </c>
      <c r="J633" s="349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1110</v>
      </c>
      <c r="K633" s="350">
        <f t="shared" ca="1" si="97"/>
        <v>17.447343602640679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84535000</v>
      </c>
      <c r="J634" s="349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2740000</v>
      </c>
      <c r="K634" s="350">
        <f t="shared" ca="1" si="97"/>
        <v>3.241261016147158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2519</v>
      </c>
      <c r="J635" s="519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74</v>
      </c>
      <c r="K635" s="494">
        <f t="shared" ca="1" si="97"/>
        <v>2.9376736800317587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9" sqref="J9"/>
      <selection pane="bottomLeft" activeCell="J9" sqref="J9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8.83203125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254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6975569</v>
      </c>
      <c r="M8" s="25">
        <f t="shared" ca="1" si="0"/>
        <v>2265910</v>
      </c>
      <c r="N8" s="25">
        <f t="shared" ca="1" si="0"/>
        <v>1835979.56</v>
      </c>
      <c r="O8" s="24">
        <f t="shared" ref="O8:O16" ca="1" si="1">IF(L8&gt;0,N8*100/L8,0)</f>
        <v>26.320140478862729</v>
      </c>
      <c r="P8" s="24">
        <f t="shared" ref="P8:P16" ca="1" si="2">IF(M8&gt;0,N8*100/M8,0)</f>
        <v>81.026146669549988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6975569</v>
      </c>
      <c r="M10" s="32">
        <f t="shared" ca="1" si="4"/>
        <v>2265910</v>
      </c>
      <c r="N10" s="32">
        <f t="shared" ca="1" si="4"/>
        <v>1835979.56</v>
      </c>
      <c r="O10" s="31">
        <f t="shared" ca="1" si="1"/>
        <v>26.320140478862729</v>
      </c>
      <c r="P10" s="31">
        <f t="shared" ca="1" si="2"/>
        <v>81.026146669549988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6900569</v>
      </c>
      <c r="M12" s="40">
        <f t="shared" ca="1" si="6"/>
        <v>2265910</v>
      </c>
      <c r="N12" s="40">
        <f t="shared" ca="1" si="6"/>
        <v>1760979.56</v>
      </c>
      <c r="O12" s="40">
        <f t="shared" ca="1" si="1"/>
        <v>25.519338477740025</v>
      </c>
      <c r="P12" s="40">
        <f t="shared" ca="1" si="2"/>
        <v>77.716218208137121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2200100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4700469</v>
      </c>
      <c r="M14" s="40">
        <f t="shared" si="8"/>
        <v>0</v>
      </c>
      <c r="N14" s="40">
        <f t="shared" ca="1" si="8"/>
        <v>289916.56</v>
      </c>
      <c r="O14" s="43">
        <f t="shared" ca="1" si="1"/>
        <v>6.167821976913368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75000</v>
      </c>
      <c r="M16" s="40">
        <f t="shared" si="10"/>
        <v>0</v>
      </c>
      <c r="N16" s="40">
        <f t="shared" ca="1" si="10"/>
        <v>75000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4241230</v>
      </c>
      <c r="M18" s="25">
        <f t="shared" ca="1" si="11"/>
        <v>2265910</v>
      </c>
      <c r="N18" s="25">
        <f t="shared" ca="1" si="11"/>
        <v>1546063</v>
      </c>
      <c r="O18" s="24">
        <f t="shared" ref="O18:O20" ca="1" si="12">IF(L18&gt;0,N18*100/L18,0)</f>
        <v>36.453175140230549</v>
      </c>
      <c r="P18" s="24">
        <f t="shared" ref="P18:P26" ca="1" si="13">IF(M18&gt;0,N18*100/M18,0)</f>
        <v>68.231439024497888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4241230</v>
      </c>
      <c r="M20" s="32">
        <f t="shared" ca="1" si="15"/>
        <v>2265910</v>
      </c>
      <c r="N20" s="32">
        <f t="shared" ca="1" si="15"/>
        <v>1546063</v>
      </c>
      <c r="O20" s="31">
        <f t="shared" ca="1" si="12"/>
        <v>36.453175140230549</v>
      </c>
      <c r="P20" s="31">
        <f t="shared" ca="1" si="13"/>
        <v>68.231439024497888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4166230</v>
      </c>
      <c r="M22" s="44">
        <f t="shared" ca="1" si="18"/>
        <v>2265910</v>
      </c>
      <c r="N22" s="43">
        <f t="shared" ca="1" si="18"/>
        <v>1471063</v>
      </c>
      <c r="O22" s="43">
        <f t="shared" ca="1" si="17"/>
        <v>35.309212405460094</v>
      </c>
      <c r="P22" s="43">
        <f t="shared" ca="1" si="13"/>
        <v>64.921510563085036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2200100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1966130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75000</v>
      </c>
      <c r="M26" s="52">
        <f t="shared" si="22"/>
        <v>0</v>
      </c>
      <c r="N26" s="52">
        <f t="shared" ca="1" si="22"/>
        <v>75000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2734339</v>
      </c>
      <c r="M28" s="25">
        <f t="shared" si="23"/>
        <v>0</v>
      </c>
      <c r="N28" s="25">
        <f t="shared" ca="1" si="23"/>
        <v>289916.56</v>
      </c>
      <c r="O28" s="24">
        <f t="shared" ref="O28:O30" ca="1" si="24">IF(L28&gt;0,N28*100/L28,0)</f>
        <v>10.602802359180775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2734339</v>
      </c>
      <c r="M30" s="32">
        <f t="shared" si="27"/>
        <v>0</v>
      </c>
      <c r="N30" s="32">
        <f t="shared" ca="1" si="27"/>
        <v>289916.56</v>
      </c>
      <c r="O30" s="31">
        <f t="shared" ca="1" si="24"/>
        <v>10.602802359180775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2734339</v>
      </c>
      <c r="M32" s="43">
        <f t="shared" si="30"/>
        <v>0</v>
      </c>
      <c r="N32" s="43">
        <f t="shared" ca="1" si="30"/>
        <v>289916.56</v>
      </c>
      <c r="O32" s="43">
        <f t="shared" ca="1" si="29"/>
        <v>10.602802359180775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2734339</v>
      </c>
      <c r="M34" s="43">
        <f t="shared" si="32"/>
        <v>0</v>
      </c>
      <c r="N34" s="43">
        <f t="shared" ca="1" si="32"/>
        <v>289916.56</v>
      </c>
      <c r="O34" s="43">
        <f t="shared" ca="1" si="29"/>
        <v>10.602802359180775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4241230</v>
      </c>
      <c r="M37" s="57">
        <f t="shared" ca="1" si="33"/>
        <v>2265910</v>
      </c>
      <c r="N37" s="57">
        <f t="shared" ca="1" si="33"/>
        <v>1546063</v>
      </c>
      <c r="O37" s="58">
        <f t="shared" ca="1" si="29"/>
        <v>36.453175140230549</v>
      </c>
      <c r="P37" s="58">
        <f t="shared" ca="1" si="25"/>
        <v>68.231439024497888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1038100</v>
      </c>
      <c r="M41" s="81">
        <f t="shared" ca="1" si="34"/>
        <v>519100</v>
      </c>
      <c r="N41" s="81">
        <f t="shared" ca="1" si="34"/>
        <v>455962</v>
      </c>
      <c r="O41" s="80">
        <f t="shared" ref="O41:O43" ca="1" si="35">IF(L41&gt;0,N41*100/L41,0)</f>
        <v>43.922743473653789</v>
      </c>
      <c r="P41" s="80">
        <f t="shared" ref="P41:P43" ca="1" si="36">IF(M41&gt;0,N41*100/M41,0)</f>
        <v>87.837025621267586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1038100</v>
      </c>
      <c r="M43" s="81">
        <f t="shared" ca="1" si="38"/>
        <v>519100</v>
      </c>
      <c r="N43" s="81">
        <f t="shared" ca="1" si="38"/>
        <v>455962</v>
      </c>
      <c r="O43" s="80">
        <f t="shared" ca="1" si="35"/>
        <v>43.922743473653789</v>
      </c>
      <c r="P43" s="80">
        <f t="shared" ca="1" si="36"/>
        <v>87.837025621267586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1038100</v>
      </c>
      <c r="M45" s="93">
        <f ca="1">IFERROR(__xludf.DUMMYFUNCTION("IMPORTRANGE(""https://docs.google.com/spreadsheets/d/1Yj_ptqi66GCucihVvJfMjLAmec39IyEx_6qawtMGysU/edit?usp=sharing"",""สบก!Q28"")"),519100)</f>
        <v>519100</v>
      </c>
      <c r="N45" s="93">
        <f ca="1">IFERROR(__xludf.DUMMYFUNCTION("IMPORTRANGE(""https://docs.google.com/spreadsheets/d/1Yj_ptqi66GCucihVvJfMjLAmec39IyEx_6qawtMGysU/edit?usp=sharing"",""สบก!R28"")"),455962)</f>
        <v>455962</v>
      </c>
      <c r="O45" s="94">
        <f ca="1">IF(L45&gt;0,N45*100/L45,0)</f>
        <v>43.922743473653789</v>
      </c>
      <c r="P45" s="94">
        <f ca="1">IF(M45&gt;0,N45*100/M45,0)</f>
        <v>87.837025621267586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IFERROR(__xludf.DUMMYFUNCTION("IMPORTRANGE(""https://docs.google.com/spreadsheets/d/1Yj_ptqi66GCucihVvJfMjLAmec39IyEx_6qawtMGysU/edit?usp=sharing"",""สบก!M28"")"),1038100)</f>
        <v>1038100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IFERROR(__xludf.DUMMYFUNCTION("IMPORTRANGE(""https://docs.google.com/spreadsheets/d/1Yj_ptqi66GCucihVvJfMjLAmec39IyEx_6qawtMGysU/edit?usp=sharing"",""สบก!N28"")"),0)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IFERROR(__xludf.DUMMYFUNCTION("IMPORTRANGE(""https://docs.google.com/spreadsheets/d/1Yj_ptqi66GCucihVvJfMjLAmec39IyEx_6qawtMGysU/edit?usp=sharing"",""สบก!O28"")"),0)</f>
        <v>0</v>
      </c>
      <c r="M49" s="103"/>
      <c r="N49" s="93">
        <f ca="1">IFERROR(__xludf.DUMMYFUNCTION("IMPORTRANGE(""https://docs.google.com/spreadsheets/d/1Yj_ptqi66GCucihVvJfMjLAmec39IyEx_6qawtMGysU/edit?usp=sharing"",""สบก!S28"")"),0)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400000</v>
      </c>
      <c r="M53" s="127">
        <f t="shared" ca="1" si="39"/>
        <v>218000</v>
      </c>
      <c r="N53" s="127">
        <f t="shared" ca="1" si="39"/>
        <v>211603</v>
      </c>
      <c r="O53" s="126">
        <f t="shared" ref="O53:O55" ca="1" si="40">IF(L53&gt;0,N53*100/L53,0)</f>
        <v>52.900750000000002</v>
      </c>
      <c r="P53" s="126">
        <f t="shared" ref="P53:P55" ca="1" si="41">IF(M53&gt;0,N53*100/M53,0)</f>
        <v>97.065596330275227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400000</v>
      </c>
      <c r="M55" s="127">
        <f t="shared" ca="1" si="43"/>
        <v>218000</v>
      </c>
      <c r="N55" s="127">
        <f t="shared" ca="1" si="43"/>
        <v>211603</v>
      </c>
      <c r="O55" s="126">
        <f t="shared" ca="1" si="40"/>
        <v>52.900750000000002</v>
      </c>
      <c r="P55" s="126">
        <f t="shared" ca="1" si="41"/>
        <v>97.065596330275227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400000</v>
      </c>
      <c r="M57" s="93">
        <f ca="1">IFERROR(__xludf.DUMMYFUNCTION("IMPORTRANGE(""https://docs.google.com/spreadsheets/d/1Yj_ptqi66GCucihVvJfMjLAmec39IyEx_6qawtMGysU/edit?usp=sharing"",""สบก!Z28"")"),218000)</f>
        <v>218000</v>
      </c>
      <c r="N57" s="93">
        <f ca="1">IFERROR(__xludf.DUMMYFUNCTION("IMPORTRANGE(""https://docs.google.com/spreadsheets/d/1Yj_ptqi66GCucihVvJfMjLAmec39IyEx_6qawtMGysU/edit?usp=sharing"",""สบก!AA28"")"),211603)</f>
        <v>211603</v>
      </c>
      <c r="O57" s="94">
        <f ca="1">IF(L57&gt;0,N57*100/L57,0)</f>
        <v>52.900750000000002</v>
      </c>
      <c r="P57" s="94">
        <f ca="1">IF(M57&gt;0,N57*100/M57,0)</f>
        <v>97.065596330275227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IFERROR(__xludf.DUMMYFUNCTION("IMPORTRANGE(""https://docs.google.com/spreadsheets/d/1Yj_ptqi66GCucihVvJfMjLAmec39IyEx_6qawtMGysU/edit?usp=sharing"",""สบก!V28"")"),400000)</f>
        <v>400000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IFERROR(__xludf.DUMMYFUNCTION("IMPORTRANGE(""https://docs.google.com/spreadsheets/d/1Yj_ptqi66GCucihVvJfMjLAmec39IyEx_6qawtMGysU/edit?usp=sharing"",""สบก!W28"")"),0)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IFERROR(__xludf.DUMMYFUNCTION("IMPORTRANGE(""https://docs.google.com/spreadsheets/d/1Yj_ptqi66GCucihVvJfMjLAmec39IyEx_6qawtMGysU/edit?usp=sharing"",""สบก!X28"")"),0)</f>
        <v>0</v>
      </c>
      <c r="M61" s="103"/>
      <c r="N61" s="93">
        <f ca="1">IFERROR(__xludf.DUMMYFUNCTION("IMPORTRANGE(""https://docs.google.com/spreadsheets/d/1Yj_ptqi66GCucihVvJfMjLAmec39IyEx_6qawtMGysU/edit?usp=sharing"",""สบก!AB28"")"),0)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IFERROR(__xludf.DUMMYFUNCTION("IMPORTRANGE(""https://docs.google.com/spreadsheets/d/11923uPwbBZFjjGgGUA6NLw09EwE0CqkOc4q9oUmW1yo/edit?usp=sharing"",""พิษณุโลก!I9"")"),3)</f>
        <v>3</v>
      </c>
      <c r="J64" s="148">
        <f ca="1">IFERROR(__xludf.DUMMYFUNCTION("IMPORTRANGE(""https://docs.google.com/spreadsheets/d/11923uPwbBZFjjGgGUA6NLw09EwE0CqkOc4q9oUmW1yo/edit?usp=sharing"",""พิษณุโลก!J9"")"),3)</f>
        <v>3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IFERROR(__xludf.DUMMYFUNCTION("IMPORTRANGE(""https://docs.google.com/spreadsheets/d/11923uPwbBZFjjGgGUA6NLw09EwE0CqkOc4q9oUmW1yo/edit?usp=sharing"",""พิษณุโลก!I10"")"),188)</f>
        <v>188</v>
      </c>
      <c r="J65" s="148">
        <f ca="1">IFERROR(__xludf.DUMMYFUNCTION("IMPORTRANGE(""https://docs.google.com/spreadsheets/d/11923uPwbBZFjjGgGUA6NLw09EwE0CqkOc4q9oUmW1yo/edit?usp=sharing"",""พิษณุโลก!J10"")"),188)</f>
        <v>188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1706600</v>
      </c>
      <c r="M66" s="158">
        <f t="shared" ca="1" si="45"/>
        <v>931680</v>
      </c>
      <c r="N66" s="158">
        <f t="shared" ca="1" si="45"/>
        <v>448516</v>
      </c>
      <c r="O66" s="157">
        <f t="shared" ref="O66:O68" ca="1" si="46">IF(L66&gt;0,N66*100/L66,0)</f>
        <v>26.281260986757296</v>
      </c>
      <c r="P66" s="157">
        <f t="shared" ref="P66:P68" ca="1" si="47">IF(M66&gt;0,N66*100/M66,0)</f>
        <v>48.140563283530824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1706600</v>
      </c>
      <c r="M68" s="163">
        <f t="shared" ca="1" si="49"/>
        <v>931680</v>
      </c>
      <c r="N68" s="163">
        <f t="shared" ca="1" si="49"/>
        <v>448516</v>
      </c>
      <c r="O68" s="162">
        <f t="shared" ca="1" si="46"/>
        <v>26.281260986757296</v>
      </c>
      <c r="P68" s="162">
        <f t="shared" ca="1" si="47"/>
        <v>48.140563283530824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1646600</v>
      </c>
      <c r="M70" s="176">
        <f ca="1">IFERROR(__xludf.DUMMYFUNCTION("IMPORTRANGE(""https://docs.google.com/spreadsheets/d/1Yj_ptqi66GCucihVvJfMjLAmec39IyEx_6qawtMGysU/edit?usp=sharing"",""สบก!AI28"")"),931680)</f>
        <v>931680</v>
      </c>
      <c r="N70" s="177">
        <f ca="1">IFERROR(__xludf.DUMMYFUNCTION("IMPORTRANGE(""https://docs.google.com/spreadsheets/d/1Yj_ptqi66GCucihVvJfMjLAmec39IyEx_6qawtMGysU/edit?usp=sharing"",""สบก!AJ28"")"),388516)</f>
        <v>388516</v>
      </c>
      <c r="O70" s="178">
        <f ca="1">IF(L70&gt;0,N70*100/L70,0)</f>
        <v>23.595044333778695</v>
      </c>
      <c r="P70" s="178">
        <f ca="1">IF(M70&gt;0,N70*100/M70,0)</f>
        <v>41.700583891464881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IFERROR(__xludf.DUMMYFUNCTION("IMPORTRANGE(""https://docs.google.com/spreadsheets/d/1Yj_ptqi66GCucihVvJfMjLAmec39IyEx_6qawtMGysU/edit?usp=sharing"",""สบก!AE28"")"),192000)</f>
        <v>192000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IFERROR(__xludf.DUMMYFUNCTION("IMPORTRANGE(""https://docs.google.com/spreadsheets/d/1Yj_ptqi66GCucihVvJfMjLAmec39IyEx_6qawtMGysU/edit?usp=sharing"",""สบก!AF28"")"),1454600)</f>
        <v>1454600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IFERROR(__xludf.DUMMYFUNCTION("IMPORTRANGE(""https://docs.google.com/spreadsheets/d/1Yj_ptqi66GCucihVvJfMjLAmec39IyEx_6qawtMGysU/edit?usp=sharing"",""สบก!AG28"")"),60000)</f>
        <v>60000</v>
      </c>
      <c r="M74" s="103"/>
      <c r="N74" s="93">
        <f ca="1">IFERROR(__xludf.DUMMYFUNCTION("IMPORTRANGE(""https://docs.google.com/spreadsheets/d/1Yj_ptqi66GCucihVvJfMjLAmec39IyEx_6qawtMGysU/edit?usp=sharing"",""สบก!AK28"")"),60000)</f>
        <v>60000</v>
      </c>
      <c r="O74" s="103">
        <f ca="1">IF(L74&gt;0,N74*100/L74,0)</f>
        <v>100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IFERROR(__xludf.DUMMYFUNCTION("IMPORTRANGE(""https://docs.google.com/spreadsheets/d/11923uPwbBZFjjGgGUA6NLw09EwE0CqkOc4q9oUmW1yo/edit?usp=sharing"",""พิษณุโลก!J16"")"),0)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IFERROR(__xludf.DUMMYFUNCTION("IMPORTRANGE(""https://docs.google.com/spreadsheets/d/11923uPwbBZFjjGgGUA6NLw09EwE0CqkOc4q9oUmW1yo/edit?usp=sharing"",""พิษณุโลก!J17"")"),1)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IFERROR(__xludf.DUMMYFUNCTION("IMPORTRANGE(""https://docs.google.com/spreadsheets/d/11923uPwbBZFjjGgGUA6NLw09EwE0CqkOc4q9oUmW1yo/edit?usp=sharing"",""พิษณุโลก!J18"")"),1)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IFERROR(__xludf.DUMMYFUNCTION("IMPORTRANGE(""https://docs.google.com/spreadsheets/d/11923uPwbBZFjjGgGUA6NLw09EwE0CqkOc4q9oUmW1yo/edit?usp=sharing"",""พิษณุโลก!J19"")"),1)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IFERROR(__xludf.DUMMYFUNCTION("IMPORTRANGE(""https://docs.google.com/spreadsheets/d/11923uPwbBZFjjGgGUA6NLw09EwE0CqkOc4q9oUmW1yo/edit?usp=sharing"",""พิษณุโลก!I20"")"),3)</f>
        <v>3</v>
      </c>
      <c r="J80" s="210">
        <f ca="1">IFERROR(__xludf.DUMMYFUNCTION("IMPORTRANGE(""https://docs.google.com/spreadsheets/d/11923uPwbBZFjjGgGUA6NLw09EwE0CqkOc4q9oUmW1yo/edit?usp=sharing"",""พิษณุโลก!J20"")"),3)</f>
        <v>3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IFERROR(__xludf.DUMMYFUNCTION("IMPORTRANGE(""https://docs.google.com/spreadsheets/d/11923uPwbBZFjjGgGUA6NLw09EwE0CqkOc4q9oUmW1yo/edit?usp=sharing"",""พิษณุโลก!I21"")"),188)</f>
        <v>188</v>
      </c>
      <c r="J81" s="210">
        <f ca="1">IFERROR(__xludf.DUMMYFUNCTION("IMPORTRANGE(""https://docs.google.com/spreadsheets/d/11923uPwbBZFjjGgGUA6NLw09EwE0CqkOc4q9oUmW1yo/edit?usp=sharing"",""พิษณุโลก!J21"")"),188)</f>
        <v>188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IFERROR(__xludf.DUMMYFUNCTION("IMPORTRANGE(""https://docs.google.com/spreadsheets/d/11923uPwbBZFjjGgGUA6NLw09EwE0CqkOc4q9oUmW1yo/edit?usp=sharing"",""พิษณุโลก!I22"")"),0)</f>
        <v>0</v>
      </c>
      <c r="J82" s="213">
        <f ca="1">IFERROR(__xludf.DUMMYFUNCTION("IMPORTRANGE(""https://docs.google.com/spreadsheets/d/11923uPwbBZFjjGgGUA6NLw09EwE0CqkOc4q9oUmW1yo/edit?usp=sharing"",""พิษณุโลก!J22"")"),0)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IFERROR(__xludf.DUMMYFUNCTION("IMPORTRANGE(""https://docs.google.com/spreadsheets/d/11923uPwbBZFjjGgGUA6NLw09EwE0CqkOc4q9oUmW1yo/edit?usp=sharing"",""พิษณุโลก!I23"")"),0)</f>
        <v>0</v>
      </c>
      <c r="J83" s="213">
        <f ca="1">IFERROR(__xludf.DUMMYFUNCTION("IMPORTRANGE(""https://docs.google.com/spreadsheets/d/11923uPwbBZFjjGgGUA6NLw09EwE0CqkOc4q9oUmW1yo/edit?usp=sharing"",""พิษณุโลก!J23"")"),0)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IFERROR(__xludf.DUMMYFUNCTION("IMPORTRANGE(""https://docs.google.com/spreadsheets/d/11923uPwbBZFjjGgGUA6NLw09EwE0CqkOc4q9oUmW1yo/edit?usp=sharing"",""พิษณุโลก!I24"")"),0)</f>
        <v>0</v>
      </c>
      <c r="J84" s="198">
        <f ca="1">IFERROR(__xludf.DUMMYFUNCTION("IMPORTRANGE(""https://docs.google.com/spreadsheets/d/11923uPwbBZFjjGgGUA6NLw09EwE0CqkOc4q9oUmW1yo/edit?usp=sharing"",""พิษณุโลก!J24"")"),0)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IFERROR(__xludf.DUMMYFUNCTION("IMPORTRANGE(""https://docs.google.com/spreadsheets/d/11923uPwbBZFjjGgGUA6NLw09EwE0CqkOc4q9oUmW1yo/edit?usp=sharing"",""พิษณุโลก!I25"")"),0)</f>
        <v>0</v>
      </c>
      <c r="J85" s="198">
        <f ca="1">IFERROR(__xludf.DUMMYFUNCTION("IMPORTRANGE(""https://docs.google.com/spreadsheets/d/11923uPwbBZFjjGgGUA6NLw09EwE0CqkOc4q9oUmW1yo/edit?usp=sharing"",""พิษณุโลก!J25"")"),0)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IFERROR(__xludf.DUMMYFUNCTION("IMPORTRANGE(""https://docs.google.com/spreadsheets/d/11923uPwbBZFjjGgGUA6NLw09EwE0CqkOc4q9oUmW1yo/edit?usp=sharing"",""พิษณุโลก!I26"")"),3)</f>
        <v>3</v>
      </c>
      <c r="J86" s="213">
        <f ca="1">IFERROR(__xludf.DUMMYFUNCTION("IMPORTRANGE(""https://docs.google.com/spreadsheets/d/11923uPwbBZFjjGgGUA6NLw09EwE0CqkOc4q9oUmW1yo/edit?usp=sharing"",""พิษณุโลก!J26"")"),3)</f>
        <v>3</v>
      </c>
      <c r="K86" s="171">
        <f t="shared" ca="1" si="50"/>
        <v>100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IFERROR(__xludf.DUMMYFUNCTION("IMPORTRANGE(""https://docs.google.com/spreadsheets/d/11923uPwbBZFjjGgGUA6NLw09EwE0CqkOc4q9oUmW1yo/edit?usp=sharing"",""พิษณุโลก!I27"")"),188)</f>
        <v>188</v>
      </c>
      <c r="J87" s="213">
        <f ca="1">IFERROR(__xludf.DUMMYFUNCTION("IMPORTRANGE(""https://docs.google.com/spreadsheets/d/11923uPwbBZFjjGgGUA6NLw09EwE0CqkOc4q9oUmW1yo/edit?usp=sharing"",""พิษณุโลก!J27"")"),188)</f>
        <v>188</v>
      </c>
      <c r="K87" s="171">
        <f t="shared" ca="1" si="50"/>
        <v>100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IFERROR(__xludf.DUMMYFUNCTION("IMPORTRANGE(""https://docs.google.com/spreadsheets/d/11923uPwbBZFjjGgGUA6NLw09EwE0CqkOc4q9oUmW1yo/edit?usp=sharing"",""พิษณุโลก!I28"")"),0)</f>
        <v>0</v>
      </c>
      <c r="J88" s="213">
        <f ca="1">IFERROR(__xludf.DUMMYFUNCTION("IMPORTRANGE(""https://docs.google.com/spreadsheets/d/11923uPwbBZFjjGgGUA6NLw09EwE0CqkOc4q9oUmW1yo/edit?usp=sharing"",""พิษณุโลก!J28"")"),0)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IFERROR(__xludf.DUMMYFUNCTION("IMPORTRANGE(""https://docs.google.com/spreadsheets/d/11923uPwbBZFjjGgGUA6NLw09EwE0CqkOc4q9oUmW1yo/edit?usp=sharing"",""พิษณุโลก!J29"")"),0)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IFERROR(__xludf.DUMMYFUNCTION("IMPORTRANGE(""https://docs.google.com/spreadsheets/d/11923uPwbBZFjjGgGUA6NLw09EwE0CqkOc4q9oUmW1yo/edit?usp=sharing"",""พิษณุโลก!J30"")"),0)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IFERROR(__xludf.DUMMYFUNCTION("IMPORTRANGE(""https://docs.google.com/spreadsheets/d/11923uPwbBZFjjGgGUA6NLw09EwE0CqkOc4q9oUmW1yo/edit?usp=sharing"",""พิษณุโลก!I32"")"),0)</f>
        <v>0</v>
      </c>
      <c r="J92" s="148">
        <f ca="1">IFERROR(__xludf.DUMMYFUNCTION("IMPORTRANGE(""https://docs.google.com/spreadsheets/d/11923uPwbBZFjjGgGUA6NLw09EwE0CqkOc4q9oUmW1yo/edit?usp=sharing"",""พิษณุโลก!J32"")"),0)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IFERROR(__xludf.DUMMYFUNCTION("IMPORTRANGE(""https://docs.google.com/spreadsheets/d/11923uPwbBZFjjGgGUA6NLw09EwE0CqkOc4q9oUmW1yo/edit?usp=sharing"",""พิษณุโลก!I33"")"),0)</f>
        <v>0</v>
      </c>
      <c r="J93" s="148">
        <f ca="1">IFERROR(__xludf.DUMMYFUNCTION("IMPORTRANGE(""https://docs.google.com/spreadsheets/d/11923uPwbBZFjjGgGUA6NLw09EwE0CqkOc4q9oUmW1yo/edit?usp=sharing"",""พิษณุโลก!J33"")"),0)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IFERROR(__xludf.DUMMYFUNCTION("IMPORTRANGE(""https://docs.google.com/spreadsheets/d/1Yj_ptqi66GCucihVvJfMjLAmec39IyEx_6qawtMGysU/edit?usp=sharing"",""สบก!AR28"")"),0)</f>
        <v>0</v>
      </c>
      <c r="N98" s="177">
        <f ca="1">IFERROR(__xludf.DUMMYFUNCTION("IMPORTRANGE(""https://docs.google.com/spreadsheets/d/1Yj_ptqi66GCucihVvJfMjLAmec39IyEx_6qawtMGysU/edit?usp=sharing"",""สบก!AS28"")"),0)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IFERROR(__xludf.DUMMYFUNCTION("IMPORTRANGE(""https://docs.google.com/spreadsheets/d/1Yj_ptqi66GCucihVvJfMjLAmec39IyEx_6qawtMGysU/edit?usp=sharing"",""สบก!AN28"")"),0)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IFERROR(__xludf.DUMMYFUNCTION("IMPORTRANGE(""https://docs.google.com/spreadsheets/d/1Yj_ptqi66GCucihVvJfMjLAmec39IyEx_6qawtMGysU/edit?usp=sharing"",""สบก!AO28"")"),0)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IFERROR(__xludf.DUMMYFUNCTION("IMPORTRANGE(""https://docs.google.com/spreadsheets/d/1Yj_ptqi66GCucihVvJfMjLAmec39IyEx_6qawtMGysU/edit?usp=sharing"",""สบก!AP28"")"),0)</f>
        <v>0</v>
      </c>
      <c r="M102" s="103"/>
      <c r="N102" s="93">
        <f ca="1">IFERROR(__xludf.DUMMYFUNCTION("IMPORTRANGE(""https://docs.google.com/spreadsheets/d/1Yj_ptqi66GCucihVvJfMjLAmec39IyEx_6qawtMGysU/edit?usp=sharing"",""สบก!AT28"")"),0)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IFERROR(__xludf.DUMMYFUNCTION("IMPORTRANGE(""https://docs.google.com/spreadsheets/d/11923uPwbBZFjjGgGUA6NLw09EwE0CqkOc4q9oUmW1yo/edit?usp=sharing"",""พิษณุโลก!J39"")"),0)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IFERROR(__xludf.DUMMYFUNCTION("IMPORTRANGE(""https://docs.google.com/spreadsheets/d/11923uPwbBZFjjGgGUA6NLw09EwE0CqkOc4q9oUmW1yo/edit?usp=sharing"",""พิษณุโลก!J40"")"),0)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IFERROR(__xludf.DUMMYFUNCTION("IMPORTRANGE(""https://docs.google.com/spreadsheets/d/11923uPwbBZFjjGgGUA6NLw09EwE0CqkOc4q9oUmW1yo/edit?usp=sharing"",""พิษณุโลก!J41"")"),0)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IFERROR(__xludf.DUMMYFUNCTION("IMPORTRANGE(""https://docs.google.com/spreadsheets/d/11923uPwbBZFjjGgGUA6NLw09EwE0CqkOc4q9oUmW1yo/edit?usp=sharing"",""พิษณุโลก!J42"")"),0)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IFERROR(__xludf.DUMMYFUNCTION("IMPORTRANGE(""https://docs.google.com/spreadsheets/d/11923uPwbBZFjjGgGUA6NLw09EwE0CqkOc4q9oUmW1yo/edit?usp=sharing"",""พิษณุโลก!I43"")"),0)</f>
        <v>0</v>
      </c>
      <c r="J108" s="213">
        <f ca="1">IFERROR(__xludf.DUMMYFUNCTION("IMPORTRANGE(""https://docs.google.com/spreadsheets/d/11923uPwbBZFjjGgGUA6NLw09EwE0CqkOc4q9oUmW1yo/edit?usp=sharing"",""พิษณุโลก!J43"")"),0)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IFERROR(__xludf.DUMMYFUNCTION("IMPORTRANGE(""https://docs.google.com/spreadsheets/d/11923uPwbBZFjjGgGUA6NLw09EwE0CqkOc4q9oUmW1yo/edit?usp=sharing"",""พิษณุโลก!I44"")"),0)</f>
        <v>0</v>
      </c>
      <c r="J109" s="213">
        <f ca="1">IFERROR(__xludf.DUMMYFUNCTION("IMPORTRANGE(""https://docs.google.com/spreadsheets/d/11923uPwbBZFjjGgGUA6NLw09EwE0CqkOc4q9oUmW1yo/edit?usp=sharing"",""พิษณุโลก!J44"")"),0)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IFERROR(__xludf.DUMMYFUNCTION("IMPORTRANGE(""https://docs.google.com/spreadsheets/d/11923uPwbBZFjjGgGUA6NLw09EwE0CqkOc4q9oUmW1yo/edit?usp=sharing"",""พิษณุโลก!I45"")"),0)</f>
        <v>0</v>
      </c>
      <c r="J110" s="213">
        <f ca="1">IFERROR(__xludf.DUMMYFUNCTION("IMPORTRANGE(""https://docs.google.com/spreadsheets/d/11923uPwbBZFjjGgGUA6NLw09EwE0CqkOc4q9oUmW1yo/edit?usp=sharing"",""พิษณุโลก!J45"")"),0)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IFERROR(__xludf.DUMMYFUNCTION("IMPORTRANGE(""https://docs.google.com/spreadsheets/d/11923uPwbBZFjjGgGUA6NLw09EwE0CqkOc4q9oUmW1yo/edit?usp=sharing"",""พิษณุโลก!I46"")"),0)</f>
        <v>0</v>
      </c>
      <c r="J111" s="213">
        <f ca="1">IFERROR(__xludf.DUMMYFUNCTION("IMPORTRANGE(""https://docs.google.com/spreadsheets/d/11923uPwbBZFjjGgGUA6NLw09EwE0CqkOc4q9oUmW1yo/edit?usp=sharing"",""พิษณุโลก!J46"")"),0)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IFERROR(__xludf.DUMMYFUNCTION("IMPORTRANGE(""https://docs.google.com/spreadsheets/d/11923uPwbBZFjjGgGUA6NLw09EwE0CqkOc4q9oUmW1yo/edit?usp=sharing"",""พิษณุโลก!I47"")"),0)</f>
        <v>0</v>
      </c>
      <c r="J112" s="213">
        <f ca="1">IFERROR(__xludf.DUMMYFUNCTION("IMPORTRANGE(""https://docs.google.com/spreadsheets/d/11923uPwbBZFjjGgGUA6NLw09EwE0CqkOc4q9oUmW1yo/edit?usp=sharing"",""พิษณุโลก!J47"")"),0)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IFERROR(__xludf.DUMMYFUNCTION("IMPORTRANGE(""https://docs.google.com/spreadsheets/d/11923uPwbBZFjjGgGUA6NLw09EwE0CqkOc4q9oUmW1yo/edit?usp=sharing"",""พิษณุโลก!I48"")"),0)</f>
        <v>0</v>
      </c>
      <c r="J113" s="213">
        <f ca="1">IFERROR(__xludf.DUMMYFUNCTION("IMPORTRANGE(""https://docs.google.com/spreadsheets/d/11923uPwbBZFjjGgGUA6NLw09EwE0CqkOc4q9oUmW1yo/edit?usp=sharing"",""พิษณุโลก!J48"")"),0)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IFERROR(__xludf.DUMMYFUNCTION("IMPORTRANGE(""https://docs.google.com/spreadsheets/d/11923uPwbBZFjjGgGUA6NLw09EwE0CqkOc4q9oUmW1yo/edit?usp=sharing"",""พิษณุโลก!J49"")"),0)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IFERROR(__xludf.DUMMYFUNCTION("IMPORTRANGE(""https://docs.google.com/spreadsheets/d/11923uPwbBZFjjGgGUA6NLw09EwE0CqkOc4q9oUmW1yo/edit?usp=sharing"",""พิษณุโลก!J50"")"),0)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IFERROR(__xludf.DUMMYFUNCTION("IMPORTRANGE(""https://docs.google.com/spreadsheets/d/11923uPwbBZFjjGgGUA6NLw09EwE0CqkOc4q9oUmW1yo/edit?usp=sharing"",""พิษณุโลก!I52"")"),0)</f>
        <v>0</v>
      </c>
      <c r="J117" s="148">
        <f ca="1">IFERROR(__xludf.DUMMYFUNCTION("IMPORTRANGE(""https://docs.google.com/spreadsheets/d/11923uPwbBZFjjGgGUA6NLw09EwE0CqkOc4q9oUmW1yo/edit?usp=sharing"",""พิษณุโลก!J52"")"),0)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IFERROR(__xludf.DUMMYFUNCTION("IMPORTRANGE(""https://docs.google.com/spreadsheets/d/1Yj_ptqi66GCucihVvJfMjLAmec39IyEx_6qawtMGysU/edit?usp=sharing"",""สบก!BA28"")"),0)</f>
        <v>0</v>
      </c>
      <c r="N122" s="177">
        <f ca="1">IFERROR(__xludf.DUMMYFUNCTION("IMPORTRANGE(""https://docs.google.com/spreadsheets/d/1Yj_ptqi66GCucihVvJfMjLAmec39IyEx_6qawtMGysU/edit?usp=sharing"",""สบก!BB28"")"),0)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IFERROR(__xludf.DUMMYFUNCTION("IMPORTRANGE(""https://docs.google.com/spreadsheets/d/1Yj_ptqi66GCucihVvJfMjLAmec39IyEx_6qawtMGysU/edit?usp=sharing"",""สบก!AW28"")"),0)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IFERROR(__xludf.DUMMYFUNCTION("IMPORTRANGE(""https://docs.google.com/spreadsheets/d/1Yj_ptqi66GCucihVvJfMjLAmec39IyEx_6qawtMGysU/edit?usp=sharing"",""สบก!AX28"")"),0)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IFERROR(__xludf.DUMMYFUNCTION("IMPORTRANGE(""https://docs.google.com/spreadsheets/d/1Yj_ptqi66GCucihVvJfMjLAmec39IyEx_6qawtMGysU/edit?usp=sharing"",""สบก!AY28"")"),0)</f>
        <v>0</v>
      </c>
      <c r="M126" s="103"/>
      <c r="N126" s="93">
        <f ca="1">IFERROR(__xludf.DUMMYFUNCTION("IMPORTRANGE(""https://docs.google.com/spreadsheets/d/1Yj_ptqi66GCucihVvJfMjLAmec39IyEx_6qawtMGysU/edit?usp=sharing"",""สบก!BC28"")"),0)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255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IFERROR(__xludf.DUMMYFUNCTION("IMPORTRANGE(""https://docs.google.com/spreadsheets/d/11923uPwbBZFjjGgGUA6NLw09EwE0CqkOc4q9oUmW1yo/edit?usp=sharing"",""พิษณุโลก!J58"")"),0)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IFERROR(__xludf.DUMMYFUNCTION("IMPORTRANGE(""https://docs.google.com/spreadsheets/d/11923uPwbBZFjjGgGUA6NLw09EwE0CqkOc4q9oUmW1yo/edit?usp=sharing"",""พิษณุโลก!J59"")"),0)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IFERROR(__xludf.DUMMYFUNCTION("IMPORTRANGE(""https://docs.google.com/spreadsheets/d/11923uPwbBZFjjGgGUA6NLw09EwE0CqkOc4q9oUmW1yo/edit?usp=sharing"",""พิษณุโลก!J60"")"),0)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IFERROR(__xludf.DUMMYFUNCTION("IMPORTRANGE(""https://docs.google.com/spreadsheets/d/11923uPwbBZFjjGgGUA6NLw09EwE0CqkOc4q9oUmW1yo/edit?usp=sharing"",""พิษณุโลก!J61"")"),0)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IFERROR(__xludf.DUMMYFUNCTION("IMPORTRANGE(""https://docs.google.com/spreadsheets/d/11923uPwbBZFjjGgGUA6NLw09EwE0CqkOc4q9oUmW1yo/edit?usp=sharing"",""พิษณุโลก!I62"")"),0)</f>
        <v>0</v>
      </c>
      <c r="J132" s="213">
        <f ca="1">IFERROR(__xludf.DUMMYFUNCTION("IMPORTRANGE(""https://docs.google.com/spreadsheets/d/11923uPwbBZFjjGgGUA6NLw09EwE0CqkOc4q9oUmW1yo/edit?usp=sharing"",""พิษณุโลก!J62"")"),0)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IFERROR(__xludf.DUMMYFUNCTION("IMPORTRANGE(""https://docs.google.com/spreadsheets/d/11923uPwbBZFjjGgGUA6NLw09EwE0CqkOc4q9oUmW1yo/edit?usp=sharing"",""พิษณุโลก!I63"")"),0)</f>
        <v>0</v>
      </c>
      <c r="J133" s="213">
        <f ca="1">IFERROR(__xludf.DUMMYFUNCTION("IMPORTRANGE(""https://docs.google.com/spreadsheets/d/11923uPwbBZFjjGgGUA6NLw09EwE0CqkOc4q9oUmW1yo/edit?usp=sharing"",""พิษณุโลก!J63"")"),0)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IFERROR(__xludf.DUMMYFUNCTION("IMPORTRANGE(""https://docs.google.com/spreadsheets/d/11923uPwbBZFjjGgGUA6NLw09EwE0CqkOc4q9oUmW1yo/edit?usp=sharing"",""พิษณุโลก!J64"")"),0)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IFERROR(__xludf.DUMMYFUNCTION("IMPORTRANGE(""https://docs.google.com/spreadsheets/d/11923uPwbBZFjjGgGUA6NLw09EwE0CqkOc4q9oUmW1yo/edit?usp=sharing"",""พิษณุโลก!J65"")"),0)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IFERROR(__xludf.DUMMYFUNCTION("IMPORTRANGE(""https://docs.google.com/spreadsheets/d/11923uPwbBZFjjGgGUA6NLw09EwE0CqkOc4q9oUmW1yo/edit?usp=sharing"",""พิษณุโลก!I68"")"),15)</f>
        <v>15</v>
      </c>
      <c r="J138" s="276">
        <f ca="1">IFERROR(__xludf.DUMMYFUNCTION("IMPORTRANGE(""https://docs.google.com/spreadsheets/d/11923uPwbBZFjjGgGUA6NLw09EwE0CqkOc4q9oUmW1yo/edit?usp=sharing"",""พิษณุโลก!J68"")"),15)</f>
        <v>15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348000</v>
      </c>
      <c r="M140" s="158">
        <f t="shared" ca="1" si="64"/>
        <v>192750</v>
      </c>
      <c r="N140" s="158">
        <f t="shared" ca="1" si="64"/>
        <v>138242</v>
      </c>
      <c r="O140" s="157">
        <f t="shared" ref="O140:O142" ca="1" si="65">IF(L140&gt;0,N140*100/L140,0)</f>
        <v>39.72471264367816</v>
      </c>
      <c r="P140" s="157">
        <f t="shared" ref="P140:P142" ca="1" si="66">IF(M140&gt;0,N140*100/M140,0)</f>
        <v>71.72088197146563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348000</v>
      </c>
      <c r="M142" s="163">
        <f t="shared" ca="1" si="68"/>
        <v>192750</v>
      </c>
      <c r="N142" s="163">
        <f t="shared" ca="1" si="68"/>
        <v>138242</v>
      </c>
      <c r="O142" s="162">
        <f t="shared" ca="1" si="65"/>
        <v>39.72471264367816</v>
      </c>
      <c r="P142" s="162">
        <f t="shared" ca="1" si="66"/>
        <v>71.72088197146563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348000</v>
      </c>
      <c r="M144" s="176">
        <f ca="1">IFERROR(__xludf.DUMMYFUNCTION("IMPORTRANGE(""https://docs.google.com/spreadsheets/d/1Yj_ptqi66GCucihVvJfMjLAmec39IyEx_6qawtMGysU/edit?usp=sharing"",""สบก!BJ28"")"),192750)</f>
        <v>192750</v>
      </c>
      <c r="N144" s="177">
        <f ca="1">IFERROR(__xludf.DUMMYFUNCTION("IMPORTRANGE(""https://docs.google.com/spreadsheets/d/1Yj_ptqi66GCucihVvJfMjLAmec39IyEx_6qawtMGysU/edit?usp=sharing"",""สบก!BK28"")"),138242)</f>
        <v>138242</v>
      </c>
      <c r="O144" s="178">
        <f ca="1">IF(L144&gt;0,N144*100/L144,0)</f>
        <v>39.72471264367816</v>
      </c>
      <c r="P144" s="178">
        <f ca="1">IF(M144&gt;0,N144*100/M144,0)</f>
        <v>71.72088197146563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IFERROR(__xludf.DUMMYFUNCTION("IMPORTRANGE(""https://docs.google.com/spreadsheets/d/1Yj_ptqi66GCucihVvJfMjLAmec39IyEx_6qawtMGysU/edit?usp=sharing"",""สบก!BF28"")"),264000)</f>
        <v>264000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IFERROR(__xludf.DUMMYFUNCTION("IMPORTRANGE(""https://docs.google.com/spreadsheets/d/1Yj_ptqi66GCucihVvJfMjLAmec39IyEx_6qawtMGysU/edit?usp=sharing"",""สบก!BG28"")"),84000)</f>
        <v>84000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IFERROR(__xludf.DUMMYFUNCTION("IMPORTRANGE(""https://docs.google.com/spreadsheets/d/1Yj_ptqi66GCucihVvJfMjLAmec39IyEx_6qawtMGysU/edit?usp=sharing"",""สบก!BH28"")"),0)</f>
        <v>0</v>
      </c>
      <c r="M148" s="103"/>
      <c r="N148" s="93">
        <f ca="1">IFERROR(__xludf.DUMMYFUNCTION("IMPORTRANGE(""https://docs.google.com/spreadsheets/d/1Yj_ptqi66GCucihVvJfMjLAmec39IyEx_6qawtMGysU/edit?usp=sharing"",""สบก!BL28"")"),0)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IFERROR(__xludf.DUMMYFUNCTION("IMPORTRANGE(""https://docs.google.com/spreadsheets/d/11923uPwbBZFjjGgGUA6NLw09EwE0CqkOc4q9oUmW1yo/edit?usp=sharing"",""พิษณุโลก!I74"")"),4)</f>
        <v>4</v>
      </c>
      <c r="J149" s="284">
        <f ca="1">IFERROR(__xludf.DUMMYFUNCTION("IMPORTRANGE(""https://docs.google.com/spreadsheets/d/11923uPwbBZFjjGgGUA6NLw09EwE0CqkOc4q9oUmW1yo/edit?usp=sharing"",""พิษณุโลก!J74"")"),2)</f>
        <v>2</v>
      </c>
      <c r="K149" s="285">
        <f ca="1">IF(I149&gt;0,J149*100/I149,0)</f>
        <v>50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IFERROR(__xludf.DUMMYFUNCTION("IMPORTRANGE(""https://docs.google.com/spreadsheets/d/11923uPwbBZFjjGgGUA6NLw09EwE0CqkOc4q9oUmW1yo/edit?usp=sharing"",""พิษณุโลก!J79"")"),0)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IFERROR(__xludf.DUMMYFUNCTION("IMPORTRANGE(""https://docs.google.com/spreadsheets/d/11923uPwbBZFjjGgGUA6NLw09EwE0CqkOc4q9oUmW1yo/edit?usp=sharing"",""พิษณุโลก!J80"")"),1)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IFERROR(__xludf.DUMMYFUNCTION("IMPORTRANGE(""https://docs.google.com/spreadsheets/d/11923uPwbBZFjjGgGUA6NLw09EwE0CqkOc4q9oUmW1yo/edit?usp=sharing"",""พิษณุโลก!J81"")"),0)</f>
        <v>0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IFERROR(__xludf.DUMMYFUNCTION("IMPORTRANGE(""https://docs.google.com/spreadsheets/d/11923uPwbBZFjjGgGUA6NLw09EwE0CqkOc4q9oUmW1yo/edit?usp=sharing"",""พิษณุโลก!J82"")"),1)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IFERROR(__xludf.DUMMYFUNCTION("IMPORTRANGE(""https://docs.google.com/spreadsheets/d/11923uPwbBZFjjGgGUA6NLw09EwE0CqkOc4q9oUmW1yo/edit?usp=sharing"",""พิษณุโลก!I83"")"),4)</f>
        <v>4</v>
      </c>
      <c r="J158" s="198">
        <f ca="1">IFERROR(__xludf.DUMMYFUNCTION("IMPORTRANGE(""https://docs.google.com/spreadsheets/d/11923uPwbBZFjjGgGUA6NLw09EwE0CqkOc4q9oUmW1yo/edit?usp=sharing"",""พิษณุโลก!J83"")"),2)</f>
        <v>2</v>
      </c>
      <c r="K158" s="171">
        <f ca="1">IF(I158&gt;0,J158*100/I158,0)</f>
        <v>50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IFERROR(__xludf.DUMMYFUNCTION("IMPORTRANGE(""https://docs.google.com/spreadsheets/d/11923uPwbBZFjjGgGUA6NLw09EwE0CqkOc4q9oUmW1yo/edit?usp=sharing"",""พิษณุโลก!J84"")"),127)</f>
        <v>127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IFERROR(__xludf.DUMMYFUNCTION("IMPORTRANGE(""https://docs.google.com/spreadsheets/d/11923uPwbBZFjjGgGUA6NLw09EwE0CqkOc4q9oUmW1yo/edit?usp=sharing"",""พิษณุโลก!J85"")"),127)</f>
        <v>127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IFERROR(__xludf.DUMMYFUNCTION("IMPORTRANGE(""https://docs.google.com/spreadsheets/d/11923uPwbBZFjjGgGUA6NLw09EwE0CqkOc4q9oUmW1yo/edit?usp=sharing"",""พิษณุโลก!J86"")"),0)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IFERROR(__xludf.DUMMYFUNCTION("IMPORTRANGE(""https://docs.google.com/spreadsheets/d/11923uPwbBZFjjGgGUA6NLw09EwE0CqkOc4q9oUmW1yo/edit?usp=sharing"",""พิษณุโลก!J87"")"),0)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IFERROR(__xludf.DUMMYFUNCTION("IMPORTRANGE(""https://docs.google.com/spreadsheets/d/11923uPwbBZFjjGgGUA6NLw09EwE0CqkOc4q9oUmW1yo/edit?usp=sharing"",""พิษณุโลก!J88"")"),0)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IFERROR(__xludf.DUMMYFUNCTION("IMPORTRANGE(""https://docs.google.com/spreadsheets/d/11923uPwbBZFjjGgGUA6NLw09EwE0CqkOc4q9oUmW1yo/edit?usp=sharing"",""พิษณุโลก!I89"")"),3)</f>
        <v>3</v>
      </c>
      <c r="J164" s="292">
        <f ca="1">IFERROR(__xludf.DUMMYFUNCTION("IMPORTRANGE(""https://docs.google.com/spreadsheets/d/11923uPwbBZFjjGgGUA6NLw09EwE0CqkOc4q9oUmW1yo/edit?usp=sharing"",""พิษณุโลก!J89"")"),0)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IFERROR(__xludf.DUMMYFUNCTION("IMPORTRANGE(""https://docs.google.com/spreadsheets/d/11923uPwbBZFjjGgGUA6NLw09EwE0CqkOc4q9oUmW1yo/edit?usp=sharing"",""พิษณุโลก!J94"")"),0)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IFERROR(__xludf.DUMMYFUNCTION("IMPORTRANGE(""https://docs.google.com/spreadsheets/d/11923uPwbBZFjjGgGUA6NLw09EwE0CqkOc4q9oUmW1yo/edit?usp=sharing"",""พิษณุโลก!J95"")"),1)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IFERROR(__xludf.DUMMYFUNCTION("IMPORTRANGE(""https://docs.google.com/spreadsheets/d/11923uPwbBZFjjGgGUA6NLw09EwE0CqkOc4q9oUmW1yo/edit?usp=sharing"",""พิษณุโลก!J96"")"),0)</f>
        <v>0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IFERROR(__xludf.DUMMYFUNCTION("IMPORTRANGE(""https://docs.google.com/spreadsheets/d/11923uPwbBZFjjGgGUA6NLw09EwE0CqkOc4q9oUmW1yo/edit?usp=sharing"",""พิษณุโลก!J97"")"),0)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IFERROR(__xludf.DUMMYFUNCTION("IMPORTRANGE(""https://docs.google.com/spreadsheets/d/11923uPwbBZFjjGgGUA6NLw09EwE0CqkOc4q9oUmW1yo/edit?usp=sharing"",""พิษณุโลก!I98"")"),3)</f>
        <v>3</v>
      </c>
      <c r="J173" s="198">
        <f ca="1">IFERROR(__xludf.DUMMYFUNCTION("IMPORTRANGE(""https://docs.google.com/spreadsheets/d/11923uPwbBZFjjGgGUA6NLw09EwE0CqkOc4q9oUmW1yo/edit?usp=sharing"",""พิษณุโลก!J98"")"),0)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IFERROR(__xludf.DUMMYFUNCTION("IMPORTRANGE(""https://docs.google.com/spreadsheets/d/11923uPwbBZFjjGgGUA6NLw09EwE0CqkOc4q9oUmW1yo/edit?usp=sharing"",""พิษณุโลก!J99"")"),0)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IFERROR(__xludf.DUMMYFUNCTION("IMPORTRANGE(""https://docs.google.com/spreadsheets/d/11923uPwbBZFjjGgGUA6NLw09EwE0CqkOc4q9oUmW1yo/edit?usp=sharing"",""พิษณุโลก!J100"")"),0)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IFERROR(__xludf.DUMMYFUNCTION("IMPORTRANGE(""https://docs.google.com/spreadsheets/d/11923uPwbBZFjjGgGUA6NLw09EwE0CqkOc4q9oUmW1yo/edit?usp=sharing"",""พิษณุโลก!I101"")"),0)</f>
        <v>0</v>
      </c>
      <c r="J176" s="292">
        <f ca="1">IFERROR(__xludf.DUMMYFUNCTION("IMPORTRANGE(""https://docs.google.com/spreadsheets/d/11923uPwbBZFjjGgGUA6NLw09EwE0CqkOc4q9oUmW1yo/edit?usp=sharing"",""พิษณุโลก!J101"")"),0)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IFERROR(__xludf.DUMMYFUNCTION("IMPORTRANGE(""https://docs.google.com/spreadsheets/d/11923uPwbBZFjjGgGUA6NLw09EwE0CqkOc4q9oUmW1yo/edit?usp=sharing"",""พิษณุโลก!J106"")"),0)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IFERROR(__xludf.DUMMYFUNCTION("IMPORTRANGE(""https://docs.google.com/spreadsheets/d/11923uPwbBZFjjGgGUA6NLw09EwE0CqkOc4q9oUmW1yo/edit?usp=sharing"",""พิษณุโลก!J107"")"),0)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IFERROR(__xludf.DUMMYFUNCTION("IMPORTRANGE(""https://docs.google.com/spreadsheets/d/11923uPwbBZFjjGgGUA6NLw09EwE0CqkOc4q9oUmW1yo/edit?usp=sharing"",""พิษณุโลก!J108"")"),0)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IFERROR(__xludf.DUMMYFUNCTION("IMPORTRANGE(""https://docs.google.com/spreadsheets/d/11923uPwbBZFjjGgGUA6NLw09EwE0CqkOc4q9oUmW1yo/edit?usp=sharing"",""พิษณุโลก!J109"")"),0)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IFERROR(__xludf.DUMMYFUNCTION("IMPORTRANGE(""https://docs.google.com/spreadsheets/d/11923uPwbBZFjjGgGUA6NLw09EwE0CqkOc4q9oUmW1yo/edit?usp=sharing"",""พิษณุโลก!I110"")"),0)</f>
        <v>0</v>
      </c>
      <c r="J185" s="213">
        <f ca="1">IFERROR(__xludf.DUMMYFUNCTION("IMPORTRANGE(""https://docs.google.com/spreadsheets/d/11923uPwbBZFjjGgGUA6NLw09EwE0CqkOc4q9oUmW1yo/edit?usp=sharing"",""พิษณุโลก!J110"")"),0)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IFERROR(__xludf.DUMMYFUNCTION("IMPORTRANGE(""https://docs.google.com/spreadsheets/d/11923uPwbBZFjjGgGUA6NLw09EwE0CqkOc4q9oUmW1yo/edit?usp=sharing"",""พิษณุโลก!I111"")"),0)</f>
        <v>0</v>
      </c>
      <c r="J186" s="213">
        <f ca="1">IFERROR(__xludf.DUMMYFUNCTION("IMPORTRANGE(""https://docs.google.com/spreadsheets/d/11923uPwbBZFjjGgGUA6NLw09EwE0CqkOc4q9oUmW1yo/edit?usp=sharing"",""พิษณุโลก!J111"")"),0)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IFERROR(__xludf.DUMMYFUNCTION("IMPORTRANGE(""https://docs.google.com/spreadsheets/d/11923uPwbBZFjjGgGUA6NLw09EwE0CqkOc4q9oUmW1yo/edit?usp=sharing"",""พิษณุโลก!J112"")"),0)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IFERROR(__xludf.DUMMYFUNCTION("IMPORTRANGE(""https://docs.google.com/spreadsheets/d/11923uPwbBZFjjGgGUA6NLw09EwE0CqkOc4q9oUmW1yo/edit?usp=sharing"",""พิษณุโลก!J113"")"),0)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IFERROR(__xludf.DUMMYFUNCTION("IMPORTRANGE(""https://docs.google.com/spreadsheets/d/11923uPwbBZFjjGgGUA6NLw09EwE0CqkOc4q9oUmW1yo/edit?usp=sharing"",""พิษณุโลก!I114"")"),50000)</f>
        <v>50000</v>
      </c>
      <c r="J189" s="292">
        <f ca="1">IFERROR(__xludf.DUMMYFUNCTION("IMPORTRANGE(""https://docs.google.com/spreadsheets/d/11923uPwbBZFjjGgGUA6NLw09EwE0CqkOc4q9oUmW1yo/edit?usp=sharing"",""พิษณุโลก!J114"")"),0)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IFERROR(__xludf.DUMMYFUNCTION("IMPORTRANGE(""https://docs.google.com/spreadsheets/d/11923uPwbBZFjjGgGUA6NLw09EwE0CqkOc4q9oUmW1yo/edit?usp=sharing"",""พิษณุโลก!J119"")"),0)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IFERROR(__xludf.DUMMYFUNCTION("IMPORTRANGE(""https://docs.google.com/spreadsheets/d/11923uPwbBZFjjGgGUA6NLw09EwE0CqkOc4q9oUmW1yo/edit?usp=sharing"",""พิษณุโลก!J120"")"),1)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IFERROR(__xludf.DUMMYFUNCTION("IMPORTRANGE(""https://docs.google.com/spreadsheets/d/11923uPwbBZFjjGgGUA6NLw09EwE0CqkOc4q9oUmW1yo/edit?usp=sharing"",""พิษณุโลก!J121"")"),1)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IFERROR(__xludf.DUMMYFUNCTION("IMPORTRANGE(""https://docs.google.com/spreadsheets/d/11923uPwbBZFjjGgGUA6NLw09EwE0CqkOc4q9oUmW1yo/edit?usp=sharing"",""พิษณุโลก!J122"")"),1)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IFERROR(__xludf.DUMMYFUNCTION("IMPORTRANGE(""https://docs.google.com/spreadsheets/d/11923uPwbBZFjjGgGUA6NLw09EwE0CqkOc4q9oUmW1yo/edit?usp=sharing"",""พิษณุโลก!I124"")"),50000)</f>
        <v>50000</v>
      </c>
      <c r="J199" s="198">
        <f ca="1">IFERROR(__xludf.DUMMYFUNCTION("IMPORTRANGE(""https://docs.google.com/spreadsheets/d/11923uPwbBZFjjGgGUA6NLw09EwE0CqkOc4q9oUmW1yo/edit?usp=sharing"",""พิษณุโลก!J124"")"),0)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IFERROR(__xludf.DUMMYFUNCTION("IMPORTRANGE(""https://docs.google.com/spreadsheets/d/11923uPwbBZFjjGgGUA6NLw09EwE0CqkOc4q9oUmW1yo/edit?usp=sharing"",""พิษณุโลก!I125"")"),50000)</f>
        <v>50000</v>
      </c>
      <c r="J200" s="198">
        <f ca="1">IFERROR(__xludf.DUMMYFUNCTION("IMPORTRANGE(""https://docs.google.com/spreadsheets/d/11923uPwbBZFjjGgGUA6NLw09EwE0CqkOc4q9oUmW1yo/edit?usp=sharing"",""พิษณุโลก!J125"")"),0)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IFERROR(__xludf.DUMMYFUNCTION("IMPORTRANGE(""https://docs.google.com/spreadsheets/d/11923uPwbBZFjjGgGUA6NLw09EwE0CqkOc4q9oUmW1yo/edit?usp=sharing"",""พิษณุโลก!I126"")"),15)</f>
        <v>15</v>
      </c>
      <c r="J201" s="198">
        <f ca="1">IFERROR(__xludf.DUMMYFUNCTION("IMPORTRANGE(""https://docs.google.com/spreadsheets/d/11923uPwbBZFjjGgGUA6NLw09EwE0CqkOc4q9oUmW1yo/edit?usp=sharing"",""พิษณุโลก!J126"")"),15)</f>
        <v>15</v>
      </c>
      <c r="K201" s="171">
        <f t="shared" ca="1" si="70"/>
        <v>100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IFERROR(__xludf.DUMMYFUNCTION("IMPORTRANGE(""https://docs.google.com/spreadsheets/d/11923uPwbBZFjjGgGUA6NLw09EwE0CqkOc4q9oUmW1yo/edit?usp=sharing"",""พิษณุโลก!J127"")"),0)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IFERROR(__xludf.DUMMYFUNCTION("IMPORTRANGE(""https://docs.google.com/spreadsheets/d/11923uPwbBZFjjGgGUA6NLw09EwE0CqkOc4q9oUmW1yo/edit?usp=sharing"",""พิษณุโลก!J128"")"),0)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IFERROR(__xludf.DUMMYFUNCTION("IMPORTRANGE(""https://docs.google.com/spreadsheets/d/11923uPwbBZFjjGgGUA6NLw09EwE0CqkOc4q9oUmW1yo/edit?usp=sharing"",""พิษณุโลก!I129"")"),0)</f>
        <v>0</v>
      </c>
      <c r="J204" s="292">
        <f ca="1">IFERROR(__xludf.DUMMYFUNCTION("IMPORTRANGE(""https://docs.google.com/spreadsheets/d/11923uPwbBZFjjGgGUA6NLw09EwE0CqkOc4q9oUmW1yo/edit?usp=sharing"",""พิษณุโลก!J129"")"),0)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IFERROR(__xludf.DUMMYFUNCTION("IMPORTRANGE(""https://docs.google.com/spreadsheets/d/11923uPwbBZFjjGgGUA6NLw09EwE0CqkOc4q9oUmW1yo/edit?usp=sharing"",""พิษณุโลก!J134"")"),0)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IFERROR(__xludf.DUMMYFUNCTION("IMPORTRANGE(""https://docs.google.com/spreadsheets/d/11923uPwbBZFjjGgGUA6NLw09EwE0CqkOc4q9oUmW1yo/edit?usp=sharing"",""พิษณุโลก!J135"")"),0)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IFERROR(__xludf.DUMMYFUNCTION("IMPORTRANGE(""https://docs.google.com/spreadsheets/d/11923uPwbBZFjjGgGUA6NLw09EwE0CqkOc4q9oUmW1yo/edit?usp=sharing"",""พิษณุโลก!J136"")"),0)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IFERROR(__xludf.DUMMYFUNCTION("IMPORTRANGE(""https://docs.google.com/spreadsheets/d/11923uPwbBZFjjGgGUA6NLw09EwE0CqkOc4q9oUmW1yo/edit?usp=sharing"",""พิษณุโลก!J137"")"),0)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IFERROR(__xludf.DUMMYFUNCTION("IMPORTRANGE(""https://docs.google.com/spreadsheets/d/11923uPwbBZFjjGgGUA6NLw09EwE0CqkOc4q9oUmW1yo/edit?usp=sharing"",""พิษณุโลก!I138"")"),0)</f>
        <v>0</v>
      </c>
      <c r="J213" s="213">
        <f ca="1">IFERROR(__xludf.DUMMYFUNCTION("IMPORTRANGE(""https://docs.google.com/spreadsheets/d/11923uPwbBZFjjGgGUA6NLw09EwE0CqkOc4q9oUmW1yo/edit?usp=sharing"",""พิษณุโลก!J138"")"),0)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IFERROR(__xludf.DUMMYFUNCTION("IMPORTRANGE(""https://docs.google.com/spreadsheets/d/11923uPwbBZFjjGgGUA6NLw09EwE0CqkOc4q9oUmW1yo/edit?usp=sharing"",""พิษณุโลก!I140"")"),0)</f>
        <v>0</v>
      </c>
      <c r="J215" s="213">
        <f ca="1">IFERROR(__xludf.DUMMYFUNCTION("IMPORTRANGE(""https://docs.google.com/spreadsheets/d/11923uPwbBZFjjGgGUA6NLw09EwE0CqkOc4q9oUmW1yo/edit?usp=sharing"",""พิษณุโลก!J140"")"),0)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IFERROR(__xludf.DUMMYFUNCTION("IMPORTRANGE(""https://docs.google.com/spreadsheets/d/11923uPwbBZFjjGgGUA6NLw09EwE0CqkOc4q9oUmW1yo/edit?usp=sharing"",""พิษณุโลก!I141"")"),0)</f>
        <v>0</v>
      </c>
      <c r="J216" s="213">
        <f ca="1">IFERROR(__xludf.DUMMYFUNCTION("IMPORTRANGE(""https://docs.google.com/spreadsheets/d/11923uPwbBZFjjGgGUA6NLw09EwE0CqkOc4q9oUmW1yo/edit?usp=sharing"",""พิษณุโลก!J141"")"),0)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IFERROR(__xludf.DUMMYFUNCTION("IMPORTRANGE(""https://docs.google.com/spreadsheets/d/11923uPwbBZFjjGgGUA6NLw09EwE0CqkOc4q9oUmW1yo/edit?usp=sharing"",""พิษณุโลก!J142"")"),0)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IFERROR(__xludf.DUMMYFUNCTION("IMPORTRANGE(""https://docs.google.com/spreadsheets/d/11923uPwbBZFjjGgGUA6NLw09EwE0CqkOc4q9oUmW1yo/edit?usp=sharing"",""พิษณุโลก!J143"")"),0)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IFERROR(__xludf.DUMMYFUNCTION("IMPORTRANGE(""https://docs.google.com/spreadsheets/d/11923uPwbBZFjjGgGUA6NLw09EwE0CqkOc4q9oUmW1yo/edit?usp=sharing"",""พิษณุโลก!I144"")"),0)</f>
        <v>0</v>
      </c>
      <c r="J219" s="276">
        <f ca="1">IFERROR(__xludf.DUMMYFUNCTION("IMPORTRANGE(""https://docs.google.com/spreadsheets/d/11923uPwbBZFjjGgGUA6NLw09EwE0CqkOc4q9oUmW1yo/edit?usp=sharing"",""พิษณุโลก!J144"")"),0)</f>
        <v>0</v>
      </c>
      <c r="K219" s="277">
        <f ca="1">IF(I219&gt;0,J219*100/I219,0)</f>
        <v>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0</v>
      </c>
      <c r="M220" s="158">
        <f t="shared" ca="1" si="72"/>
        <v>0</v>
      </c>
      <c r="N220" s="158">
        <f t="shared" ca="1" si="72"/>
        <v>0</v>
      </c>
      <c r="O220" s="157">
        <f t="shared" ref="O220:O222" ca="1" si="73">IF(L220&gt;0,N220*100/L220,0)</f>
        <v>0</v>
      </c>
      <c r="P220" s="157">
        <f t="shared" ref="P220:P222" ca="1" si="74">IF(M220&gt;0,N220*100/M220,0)</f>
        <v>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0</v>
      </c>
      <c r="M222" s="163">
        <f t="shared" ca="1" si="76"/>
        <v>0</v>
      </c>
      <c r="N222" s="163">
        <f t="shared" ca="1" si="76"/>
        <v>0</v>
      </c>
      <c r="O222" s="162">
        <f t="shared" ca="1" si="73"/>
        <v>0</v>
      </c>
      <c r="P222" s="162">
        <f t="shared" ca="1" si="74"/>
        <v>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0</v>
      </c>
      <c r="M224" s="176">
        <f ca="1">IFERROR(__xludf.DUMMYFUNCTION("IMPORTRANGE(""https://docs.google.com/spreadsheets/d/1Yj_ptqi66GCucihVvJfMjLAmec39IyEx_6qawtMGysU/edit?usp=sharing"",""สบก!BS28"")"),0)</f>
        <v>0</v>
      </c>
      <c r="N224" s="177">
        <f ca="1">IFERROR(__xludf.DUMMYFUNCTION("IMPORTRANGE(""https://docs.google.com/spreadsheets/d/1Yj_ptqi66GCucihVvJfMjLAmec39IyEx_6qawtMGysU/edit?usp=sharing"",""สบก!BT28"")"),0)</f>
        <v>0</v>
      </c>
      <c r="O224" s="178">
        <f ca="1">IF(L224&gt;0,N224*100/L224,0)</f>
        <v>0</v>
      </c>
      <c r="P224" s="178">
        <f ca="1">IF(M224&gt;0,N224*100/M224,0)</f>
        <v>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IFERROR(__xludf.DUMMYFUNCTION("IMPORTRANGE(""https://docs.google.com/spreadsheets/d/1Yj_ptqi66GCucihVvJfMjLAmec39IyEx_6qawtMGysU/edit?usp=sharing"",""สบก!BO28"")"),0)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IFERROR(__xludf.DUMMYFUNCTION("IMPORTRANGE(""https://docs.google.com/spreadsheets/d/1Yj_ptqi66GCucihVvJfMjLAmec39IyEx_6qawtMGysU/edit?usp=sharing"",""สบก!BP28"")"),0)</f>
        <v>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IFERROR(__xludf.DUMMYFUNCTION("IMPORTRANGE(""https://docs.google.com/spreadsheets/d/1Yj_ptqi66GCucihVvJfMjLAmec39IyEx_6qawtMGysU/edit?usp=sharing"",""สบก!BQ28"")"),0)</f>
        <v>0</v>
      </c>
      <c r="M228" s="103"/>
      <c r="N228" s="93">
        <f ca="1">IFERROR(__xludf.DUMMYFUNCTION("IMPORTRANGE(""https://docs.google.com/spreadsheets/d/1Yj_ptqi66GCucihVvJfMjLAmec39IyEx_6qawtMGysU/edit?usp=sharing"",""สบก!BU28"")"),0)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IFERROR(__xludf.DUMMYFUNCTION("IMPORTRANGE(""https://docs.google.com/spreadsheets/d/11923uPwbBZFjjGgGUA6NLw09EwE0CqkOc4q9oUmW1yo/edit?usp=sharing"",""พิษณุโลก!I149"")"),0)</f>
        <v>0</v>
      </c>
      <c r="J229" s="276">
        <f ca="1">IFERROR(__xludf.DUMMYFUNCTION("IMPORTRANGE(""https://docs.google.com/spreadsheets/d/11923uPwbBZFjjGgGUA6NLw09EwE0CqkOc4q9oUmW1yo/edit?usp=sharing"",""พิษณุโลก!J149"")"),0)</f>
        <v>0</v>
      </c>
      <c r="K229" s="277">
        <f ca="1">IF(I229&gt;0,J229*100/I229,0)</f>
        <v>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IFERROR(__xludf.DUMMYFUNCTION("IMPORTRANGE(""https://docs.google.com/spreadsheets/d/11923uPwbBZFjjGgGUA6NLw09EwE0CqkOc4q9oUmW1yo/edit?usp=sharing"",""พิษณุโลก!J151"")"),0)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IFERROR(__xludf.DUMMYFUNCTION("IMPORTRANGE(""https://docs.google.com/spreadsheets/d/11923uPwbBZFjjGgGUA6NLw09EwE0CqkOc4q9oUmW1yo/edit?usp=sharing"",""พิษณุโลก!J152"")"),0)</f>
        <v>0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IFERROR(__xludf.DUMMYFUNCTION("IMPORTRANGE(""https://docs.google.com/spreadsheets/d/11923uPwbBZFjjGgGUA6NLw09EwE0CqkOc4q9oUmW1yo/edit?usp=sharing"",""พิษณุโลก!J153"")"),0)</f>
        <v>0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IFERROR(__xludf.DUMMYFUNCTION("IMPORTRANGE(""https://docs.google.com/spreadsheets/d/11923uPwbBZFjjGgGUA6NLw09EwE0CqkOc4q9oUmW1yo/edit?usp=sharing"",""พิษณุโลก!J154"")"),0)</f>
        <v>0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IFERROR(__xludf.DUMMYFUNCTION("IMPORTRANGE(""https://docs.google.com/spreadsheets/d/11923uPwbBZFjjGgGUA6NLw09EwE0CqkOc4q9oUmW1yo/edit?usp=sharing"",""พิษณุโลก!I155"")"),0)</f>
        <v>0</v>
      </c>
      <c r="J235" s="198">
        <f ca="1">IFERROR(__xludf.DUMMYFUNCTION("IMPORTRANGE(""https://docs.google.com/spreadsheets/d/11923uPwbBZFjjGgGUA6NLw09EwE0CqkOc4q9oUmW1yo/edit?usp=sharing"",""พิษณุโลก!J155"")"),0)</f>
        <v>0</v>
      </c>
      <c r="K235" s="171">
        <f ca="1">IF(I235&gt;0,J235*100/I235,0)</f>
        <v>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IFERROR(__xludf.DUMMYFUNCTION("IMPORTRANGE(""https://docs.google.com/spreadsheets/d/11923uPwbBZFjjGgGUA6NLw09EwE0CqkOc4q9oUmW1yo/edit?usp=sharing"",""พิษณุโลก!J156"")"),0)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IFERROR(__xludf.DUMMYFUNCTION("IMPORTRANGE(""https://docs.google.com/spreadsheets/d/11923uPwbBZFjjGgGUA6NLw09EwE0CqkOc4q9oUmW1yo/edit?usp=sharing"",""พิษณุโลก!J157"")"),0)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IFERROR(__xludf.DUMMYFUNCTION("IMPORTRANGE(""https://docs.google.com/spreadsheets/d/11923uPwbBZFjjGgGUA6NLw09EwE0CqkOc4q9oUmW1yo/edit?usp=sharing"",""พิษณุโลก!I158"")"),0)</f>
        <v>0</v>
      </c>
      <c r="J238" s="276">
        <f ca="1">IFERROR(__xludf.DUMMYFUNCTION("IMPORTRANGE(""https://docs.google.com/spreadsheets/d/11923uPwbBZFjjGgGUA6NLw09EwE0CqkOc4q9oUmW1yo/edit?usp=sharing"",""พิษณุโลก!J158"")"),0)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IFERROR(__xludf.DUMMYFUNCTION("IMPORTRANGE(""https://docs.google.com/spreadsheets/d/11923uPwbBZFjjGgGUA6NLw09EwE0CqkOc4q9oUmW1yo/edit?usp=sharing"",""พิษณุโลก!J159"")"),"")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IFERROR(__xludf.DUMMYFUNCTION("IMPORTRANGE(""https://docs.google.com/spreadsheets/d/11923uPwbBZFjjGgGUA6NLw09EwE0CqkOc4q9oUmW1yo/edit?usp=sharing"",""พิษณุโลก!J161"")"),0)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IFERROR(__xludf.DUMMYFUNCTION("IMPORTRANGE(""https://docs.google.com/spreadsheets/d/11923uPwbBZFjjGgGUA6NLw09EwE0CqkOc4q9oUmW1yo/edit?usp=sharing"",""พิษณุโลก!J162"")"),0)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IFERROR(__xludf.DUMMYFUNCTION("IMPORTRANGE(""https://docs.google.com/spreadsheets/d/11923uPwbBZFjjGgGUA6NLw09EwE0CqkOc4q9oUmW1yo/edit?usp=sharing"",""พิษณุโลก!J163"")"),0)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IFERROR(__xludf.DUMMYFUNCTION("IMPORTRANGE(""https://docs.google.com/spreadsheets/d/11923uPwbBZFjjGgGUA6NLw09EwE0CqkOc4q9oUmW1yo/edit?usp=sharing"",""พิษณุโลก!I164"")"),0)</f>
        <v>0</v>
      </c>
      <c r="J244" s="197">
        <f ca="1">IFERROR(__xludf.DUMMYFUNCTION("IMPORTRANGE(""https://docs.google.com/spreadsheets/d/11923uPwbBZFjjGgGUA6NLw09EwE0CqkOc4q9oUmW1yo/edit?usp=sharing"",""พิษณุโลก!J164"")"),0)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IFERROR(__xludf.DUMMYFUNCTION("IMPORTRANGE(""https://docs.google.com/spreadsheets/d/11923uPwbBZFjjGgGUA6NLw09EwE0CqkOc4q9oUmW1yo/edit?usp=sharing"",""พิษณุโลก!J165"")"),0)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IFERROR(__xludf.DUMMYFUNCTION("IMPORTRANGE(""https://docs.google.com/spreadsheets/d/11923uPwbBZFjjGgGUA6NLw09EwE0CqkOc4q9oUmW1yo/edit?usp=sharing"",""พิษณุโลก!J166"")"),0)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IFERROR(__xludf.DUMMYFUNCTION("IMPORTRANGE(""https://docs.google.com/spreadsheets/d/11923uPwbBZFjjGgGUA6NLw09EwE0CqkOc4q9oUmW1yo/edit?usp=sharing"",""พิษณุโลก!I169"")"),0)</f>
        <v>0</v>
      </c>
      <c r="J249" s="324">
        <f ca="1">IFERROR(__xludf.DUMMYFUNCTION("IMPORTRANGE(""https://docs.google.com/spreadsheets/d/11923uPwbBZFjjGgGUA6NLw09EwE0CqkOc4q9oUmW1yo/edit?usp=sharing"",""พิษณุโลก!J169"")"),0)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IFERROR(__xludf.DUMMYFUNCTION("IMPORTRANGE(""https://docs.google.com/spreadsheets/d/1Yj_ptqi66GCucihVvJfMjLAmec39IyEx_6qawtMGysU/edit?usp=sharing"",""สบก!CB28"")"),0)</f>
        <v>0</v>
      </c>
      <c r="N254" s="177">
        <f ca="1">IFERROR(__xludf.DUMMYFUNCTION("IMPORTRANGE(""https://docs.google.com/spreadsheets/d/1Yj_ptqi66GCucihVvJfMjLAmec39IyEx_6qawtMGysU/edit?usp=sharing"",""สบก!CC28"")"),0)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IFERROR(__xludf.DUMMYFUNCTION("IMPORTRANGE(""https://docs.google.com/spreadsheets/d/1Yj_ptqi66GCucihVvJfMjLAmec39IyEx_6qawtMGysU/edit?usp=sharing"",""สบก!BX28"")"),0)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IFERROR(__xludf.DUMMYFUNCTION("IMPORTRANGE(""https://docs.google.com/spreadsheets/d/1Yj_ptqi66GCucihVvJfMjLAmec39IyEx_6qawtMGysU/edit?usp=sharing"",""สบก!BY28"")"),0)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IFERROR(__xludf.DUMMYFUNCTION("IMPORTRANGE(""https://docs.google.com/spreadsheets/d/1Yj_ptqi66GCucihVvJfMjLAmec39IyEx_6qawtMGysU/edit?usp=sharing"",""สบก!BZ28"")"),0)</f>
        <v>0</v>
      </c>
      <c r="M258" s="103"/>
      <c r="N258" s="93">
        <f ca="1">IFERROR(__xludf.DUMMYFUNCTION("IMPORTRANGE(""https://docs.google.com/spreadsheets/d/1Yj_ptqi66GCucihVvJfMjLAmec39IyEx_6qawtMGysU/edit?usp=sharing"",""สบก!CD28"")"),0)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IFERROR(__xludf.DUMMYFUNCTION("IMPORTRANGE(""https://docs.google.com/spreadsheets/d/11923uPwbBZFjjGgGUA6NLw09EwE0CqkOc4q9oUmW1yo/edit?usp=sharing"",""พิษณุโลก!J175"")"),0)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IFERROR(__xludf.DUMMYFUNCTION("IMPORTRANGE(""https://docs.google.com/spreadsheets/d/11923uPwbBZFjjGgGUA6NLw09EwE0CqkOc4q9oUmW1yo/edit?usp=sharing"",""พิษณุโลก!J176"")"),0)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IFERROR(__xludf.DUMMYFUNCTION("IMPORTRANGE(""https://docs.google.com/spreadsheets/d/11923uPwbBZFjjGgGUA6NLw09EwE0CqkOc4q9oUmW1yo/edit?usp=sharing"",""พิษณุโลก!J177"")"),0)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IFERROR(__xludf.DUMMYFUNCTION("IMPORTRANGE(""https://docs.google.com/spreadsheets/d/11923uPwbBZFjjGgGUA6NLw09EwE0CqkOc4q9oUmW1yo/edit?usp=sharing"",""พิษณุโลก!J178"")"),0)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IFERROR(__xludf.DUMMYFUNCTION("IMPORTRANGE(""https://docs.google.com/spreadsheets/d/11923uPwbBZFjjGgGUA6NLw09EwE0CqkOc4q9oUmW1yo/edit?usp=sharing"",""พิษณุโลก!I179"")"),0)</f>
        <v>0</v>
      </c>
      <c r="J264" s="198">
        <f ca="1">IFERROR(__xludf.DUMMYFUNCTION("IMPORTRANGE(""https://docs.google.com/spreadsheets/d/11923uPwbBZFjjGgGUA6NLw09EwE0CqkOc4q9oUmW1yo/edit?usp=sharing"",""พิษณุโลก!J179"")"),0)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IFERROR(__xludf.DUMMYFUNCTION("IMPORTRANGE(""https://docs.google.com/spreadsheets/d/11923uPwbBZFjjGgGUA6NLw09EwE0CqkOc4q9oUmW1yo/edit?usp=sharing"",""พิษณุโลก!I180"")"),0)</f>
        <v>0</v>
      </c>
      <c r="J265" s="198">
        <f ca="1">IFERROR(__xludf.DUMMYFUNCTION("IMPORTRANGE(""https://docs.google.com/spreadsheets/d/11923uPwbBZFjjGgGUA6NLw09EwE0CqkOc4q9oUmW1yo/edit?usp=sharing"",""พิษณุโลก!J180"")"),0)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IFERROR(__xludf.DUMMYFUNCTION("IMPORTRANGE(""https://docs.google.com/spreadsheets/d/11923uPwbBZFjjGgGUA6NLw09EwE0CqkOc4q9oUmW1yo/edit?usp=sharing"",""พิษณุโลก!I181"")"),0)</f>
        <v>0</v>
      </c>
      <c r="J266" s="198">
        <f ca="1">IFERROR(__xludf.DUMMYFUNCTION("IMPORTRANGE(""https://docs.google.com/spreadsheets/d/11923uPwbBZFjjGgGUA6NLw09EwE0CqkOc4q9oUmW1yo/edit?usp=sharing"",""พิษณุโลก!J181"")"),0)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IFERROR(__xludf.DUMMYFUNCTION("IMPORTRANGE(""https://docs.google.com/spreadsheets/d/11923uPwbBZFjjGgGUA6NLw09EwE0CqkOc4q9oUmW1yo/edit?usp=sharing"",""พิษณุโลก!I182"")"),0)</f>
        <v>0</v>
      </c>
      <c r="J267" s="198">
        <f ca="1">IFERROR(__xludf.DUMMYFUNCTION("IMPORTRANGE(""https://docs.google.com/spreadsheets/d/11923uPwbBZFjjGgGUA6NLw09EwE0CqkOc4q9oUmW1yo/edit?usp=sharing"",""พิษณุโลก!J182"")"),0)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IFERROR(__xludf.DUMMYFUNCTION("IMPORTRANGE(""https://docs.google.com/spreadsheets/d/11923uPwbBZFjjGgGUA6NLw09EwE0CqkOc4q9oUmW1yo/edit?usp=sharing"",""พิษณุโลก!J183"")"),0)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IFERROR(__xludf.DUMMYFUNCTION("IMPORTRANGE(""https://docs.google.com/spreadsheets/d/11923uPwbBZFjjGgGUA6NLw09EwE0CqkOc4q9oUmW1yo/edit?usp=sharing"",""พิษณุโลก!J184"")"),0)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IFERROR(__xludf.DUMMYFUNCTION("IMPORTRANGE(""https://docs.google.com/spreadsheets/d/11923uPwbBZFjjGgGUA6NLw09EwE0CqkOc4q9oUmW1yo/edit?usp=sharing"",""พิษณุโลก!I185"")"),15)</f>
        <v>15</v>
      </c>
      <c r="J270" s="324">
        <f ca="1">IFERROR(__xludf.DUMMYFUNCTION("IMPORTRANGE(""https://docs.google.com/spreadsheets/d/11923uPwbBZFjjGgGUA6NLw09EwE0CqkOc4q9oUmW1yo/edit?usp=sharing"",""พิษณุโลก!J185"")"),15)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55200</v>
      </c>
      <c r="M271" s="158">
        <f t="shared" ca="1" si="83"/>
        <v>32250</v>
      </c>
      <c r="N271" s="158">
        <f t="shared" ca="1" si="83"/>
        <v>6020</v>
      </c>
      <c r="O271" s="157">
        <f t="shared" ref="O271:O273" ca="1" si="84">IF(L271&gt;0,N271*100/L271,0)</f>
        <v>10.905797101449275</v>
      </c>
      <c r="P271" s="157">
        <f t="shared" ref="P271:P273" ca="1" si="85">IF(M271&gt;0,N271*100/M271,0)</f>
        <v>18.666666666666668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55200</v>
      </c>
      <c r="M273" s="163">
        <f t="shared" ca="1" si="87"/>
        <v>32250</v>
      </c>
      <c r="N273" s="163">
        <f t="shared" ca="1" si="87"/>
        <v>6020</v>
      </c>
      <c r="O273" s="162">
        <f t="shared" ca="1" si="84"/>
        <v>10.905797101449275</v>
      </c>
      <c r="P273" s="162">
        <f t="shared" ca="1" si="85"/>
        <v>18.666666666666668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55200</v>
      </c>
      <c r="M275" s="176">
        <f ca="1">IFERROR(__xludf.DUMMYFUNCTION("IMPORTRANGE(""https://docs.google.com/spreadsheets/d/1Yj_ptqi66GCucihVvJfMjLAmec39IyEx_6qawtMGysU/edit?usp=sharing"",""สบก!CK28"")"),32250)</f>
        <v>32250</v>
      </c>
      <c r="N275" s="177">
        <f ca="1">IFERROR(__xludf.DUMMYFUNCTION("IMPORTRANGE(""https://docs.google.com/spreadsheets/d/1Yj_ptqi66GCucihVvJfMjLAmec39IyEx_6qawtMGysU/edit?usp=sharing"",""สบก!CL28"")"),6020)</f>
        <v>6020</v>
      </c>
      <c r="O275" s="178">
        <f ca="1">IF(L275&gt;0,N275*100/L275,0)</f>
        <v>10.905797101449275</v>
      </c>
      <c r="P275" s="178">
        <f ca="1">IF(M275&gt;0,N275*100/M275,0)</f>
        <v>18.666666666666668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IFERROR(__xludf.DUMMYFUNCTION("IMPORTRANGE(""https://docs.google.com/spreadsheets/d/1Yj_ptqi66GCucihVvJfMjLAmec39IyEx_6qawtMGysU/edit?usp=sharing"",""สบก!CG28"")"),0)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IFERROR(__xludf.DUMMYFUNCTION("IMPORTRANGE(""https://docs.google.com/spreadsheets/d/1Yj_ptqi66GCucihVvJfMjLAmec39IyEx_6qawtMGysU/edit?usp=sharing"",""สบก!CH28"")"),55200)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IFERROR(__xludf.DUMMYFUNCTION("IMPORTRANGE(""https://docs.google.com/spreadsheets/d/1Yj_ptqi66GCucihVvJfMjLAmec39IyEx_6qawtMGysU/edit?usp=sharing"",""สบก!CI28"")"),0)</f>
        <v>0</v>
      </c>
      <c r="M279" s="103"/>
      <c r="N279" s="93">
        <f ca="1">IFERROR(__xludf.DUMMYFUNCTION("IMPORTRANGE(""https://docs.google.com/spreadsheets/d/1Yj_ptqi66GCucihVvJfMjLAmec39IyEx_6qawtMGysU/edit?usp=sharing"",""สบก!CM28"")"),0)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IFERROR(__xludf.DUMMYFUNCTION("IMPORTRANGE(""https://docs.google.com/spreadsheets/d/11923uPwbBZFjjGgGUA6NLw09EwE0CqkOc4q9oUmW1yo/edit?usp=sharing"",""พิษณุโลก!J191"")"),0)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IFERROR(__xludf.DUMMYFUNCTION("IMPORTRANGE(""https://docs.google.com/spreadsheets/d/11923uPwbBZFjjGgGUA6NLw09EwE0CqkOc4q9oUmW1yo/edit?usp=sharing"",""พิษณุโลก!J192"")"),1)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IFERROR(__xludf.DUMMYFUNCTION("IMPORTRANGE(""https://docs.google.com/spreadsheets/d/11923uPwbBZFjjGgGUA6NLw09EwE0CqkOc4q9oUmW1yo/edit?usp=sharing"",""พิษณุโลก!J193"")"),1)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IFERROR(__xludf.DUMMYFUNCTION("IMPORTRANGE(""https://docs.google.com/spreadsheets/d/11923uPwbBZFjjGgGUA6NLw09EwE0CqkOc4q9oUmW1yo/edit?usp=sharing"",""พิษณุโลก!J194"")"),1)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IFERROR(__xludf.DUMMYFUNCTION("IMPORTRANGE(""https://docs.google.com/spreadsheets/d/11923uPwbBZFjjGgGUA6NLw09EwE0CqkOc4q9oUmW1yo/edit?usp=sharing"",""พิษณุโลก!I195"")"),15)</f>
        <v>15</v>
      </c>
      <c r="J285" s="198">
        <f ca="1">IFERROR(__xludf.DUMMYFUNCTION("IMPORTRANGE(""https://docs.google.com/spreadsheets/d/11923uPwbBZFjjGgGUA6NLw09EwE0CqkOc4q9oUmW1yo/edit?usp=sharing"",""พิษณุโลก!J195"")"),15)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IFERROR(__xludf.DUMMYFUNCTION("IMPORTRANGE(""https://docs.google.com/spreadsheets/d/11923uPwbBZFjjGgGUA6NLw09EwE0CqkOc4q9oUmW1yo/edit?usp=sharing"",""พิษณุโลก!J196"")"),0)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IFERROR(__xludf.DUMMYFUNCTION("IMPORTRANGE(""https://docs.google.com/spreadsheets/d/11923uPwbBZFjjGgGUA6NLw09EwE0CqkOc4q9oUmW1yo/edit?usp=sharing"",""พิษณุโลก!J197"")"),0)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IFERROR(__xludf.DUMMYFUNCTION("IMPORTRANGE(""https://docs.google.com/spreadsheets/d/11923uPwbBZFjjGgGUA6NLw09EwE0CqkOc4q9oUmW1yo/edit?usp=sharing"",""พิษณุโลก!I199"")"),0)</f>
        <v>0</v>
      </c>
      <c r="J289" s="324">
        <f ca="1">IFERROR(__xludf.DUMMYFUNCTION("IMPORTRANGE(""https://docs.google.com/spreadsheets/d/11923uPwbBZFjjGgGUA6NLw09EwE0CqkOc4q9oUmW1yo/edit?usp=sharing"",""พิษณุโลก!J199"")"),0)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IFERROR(__xludf.DUMMYFUNCTION("IMPORTRANGE(""https://docs.google.com/spreadsheets/d/1Yj_ptqi66GCucihVvJfMjLAmec39IyEx_6qawtMGysU/edit?usp=sharing"",""สบก!CT28"")"),0)</f>
        <v>0</v>
      </c>
      <c r="N294" s="177">
        <f ca="1">IFERROR(__xludf.DUMMYFUNCTION("IMPORTRANGE(""https://docs.google.com/spreadsheets/d/1Yj_ptqi66GCucihVvJfMjLAmec39IyEx_6qawtMGysU/edit?usp=sharing"",""สบก!CU28"")"),0)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IFERROR(__xludf.DUMMYFUNCTION("IMPORTRANGE(""https://docs.google.com/spreadsheets/d/1Yj_ptqi66GCucihVvJfMjLAmec39IyEx_6qawtMGysU/edit?usp=sharing"",""สบก!CP28"")"),0)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IFERROR(__xludf.DUMMYFUNCTION("IMPORTRANGE(""https://docs.google.com/spreadsheets/d/1Yj_ptqi66GCucihVvJfMjLAmec39IyEx_6qawtMGysU/edit?usp=sharing"",""สบก!CQ28"")"),0)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IFERROR(__xludf.DUMMYFUNCTION("IMPORTRANGE(""https://docs.google.com/spreadsheets/d/1Yj_ptqi66GCucihVvJfMjLAmec39IyEx_6qawtMGysU/edit?usp=sharing"",""สบก!CR28"")"),0)</f>
        <v>0</v>
      </c>
      <c r="M298" s="103"/>
      <c r="N298" s="93">
        <f ca="1">IFERROR(__xludf.DUMMYFUNCTION("IMPORTRANGE(""https://docs.google.com/spreadsheets/d/1Yj_ptqi66GCucihVvJfMjLAmec39IyEx_6qawtMGysU/edit?usp=sharing"",""สบก!CV28"")"),0)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IFERROR(__xludf.DUMMYFUNCTION("IMPORTRANGE(""https://docs.google.com/spreadsheets/d/11923uPwbBZFjjGgGUA6NLw09EwE0CqkOc4q9oUmW1yo/edit?usp=sharing"",""พิษณุโลก!J205"")"),0)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IFERROR(__xludf.DUMMYFUNCTION("IMPORTRANGE(""https://docs.google.com/spreadsheets/d/11923uPwbBZFjjGgGUA6NLw09EwE0CqkOc4q9oUmW1yo/edit?usp=sharing"",""พิษณุโลก!J206"")"),0)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IFERROR(__xludf.DUMMYFUNCTION("IMPORTRANGE(""https://docs.google.com/spreadsheets/d/11923uPwbBZFjjGgGUA6NLw09EwE0CqkOc4q9oUmW1yo/edit?usp=sharing"",""พิษณุโลก!J207"")"),0)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IFERROR(__xludf.DUMMYFUNCTION("IMPORTRANGE(""https://docs.google.com/spreadsheets/d/11923uPwbBZFjjGgGUA6NLw09EwE0CqkOc4q9oUmW1yo/edit?usp=sharing"",""พิษณุโลก!J208"")"),0)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IFERROR(__xludf.DUMMYFUNCTION("IMPORTRANGE(""https://docs.google.com/spreadsheets/d/11923uPwbBZFjjGgGUA6NLw09EwE0CqkOc4q9oUmW1yo/edit?usp=sharing"",""พิษณุโลก!I209"")"),0)</f>
        <v>0</v>
      </c>
      <c r="J304" s="213">
        <f ca="1">IFERROR(__xludf.DUMMYFUNCTION("IMPORTRANGE(""https://docs.google.com/spreadsheets/d/11923uPwbBZFjjGgGUA6NLw09EwE0CqkOc4q9oUmW1yo/edit?usp=sharing"",""พิษณุโลก!J209"")"),0)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IFERROR(__xludf.DUMMYFUNCTION("IMPORTRANGE(""https://docs.google.com/spreadsheets/d/11923uPwbBZFjjGgGUA6NLw09EwE0CqkOc4q9oUmW1yo/edit?usp=sharing"",""พิษณุโลก!I211"")"),0)</f>
        <v>0</v>
      </c>
      <c r="J306" s="213">
        <f ca="1">IFERROR(__xludf.DUMMYFUNCTION("IMPORTRANGE(""https://docs.google.com/spreadsheets/d/11923uPwbBZFjjGgGUA6NLw09EwE0CqkOc4q9oUmW1yo/edit?usp=sharing"",""พิษณุโลก!J211"")"),0)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IFERROR(__xludf.DUMMYFUNCTION("IMPORTRANGE(""https://docs.google.com/spreadsheets/d/11923uPwbBZFjjGgGUA6NLw09EwE0CqkOc4q9oUmW1yo/edit?usp=sharing"",""พิษณุโลก!J212"")"),0)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IFERROR(__xludf.DUMMYFUNCTION("IMPORTRANGE(""https://docs.google.com/spreadsheets/d/11923uPwbBZFjjGgGUA6NLw09EwE0CqkOc4q9oUmW1yo/edit?usp=sharing"",""พิษณุโลก!J213"")"),0)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IFERROR(__xludf.DUMMYFUNCTION("IMPORTRANGE(""https://docs.google.com/spreadsheets/d/11923uPwbBZFjjGgGUA6NLw09EwE0CqkOc4q9oUmW1yo/edit?usp=sharing"",""พิษณุโลก!I214"")"),0)</f>
        <v>0</v>
      </c>
      <c r="J309" s="341">
        <f ca="1">IFERROR(__xludf.DUMMYFUNCTION("IMPORTRANGE(""https://docs.google.com/spreadsheets/d/11923uPwbBZFjjGgGUA6NLw09EwE0CqkOc4q9oUmW1yo/edit?usp=sharing"",""พิษณุโลก!J214"")"),0)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IFERROR(__xludf.DUMMYFUNCTION("IMPORTRANGE(""https://docs.google.com/spreadsheets/d/1Yj_ptqi66GCucihVvJfMjLAmec39IyEx_6qawtMGysU/edit?usp=sharing"",""สบก!DC28"")"),0)</f>
        <v>0</v>
      </c>
      <c r="N314" s="177">
        <f ca="1">IFERROR(__xludf.DUMMYFUNCTION("IMPORTRANGE(""https://docs.google.com/spreadsheets/d/1Yj_ptqi66GCucihVvJfMjLAmec39IyEx_6qawtMGysU/edit?usp=sharing"",""สบก!DD28"")"),0)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IFERROR(__xludf.DUMMYFUNCTION("IMPORTRANGE(""https://docs.google.com/spreadsheets/d/1Yj_ptqi66GCucihVvJfMjLAmec39IyEx_6qawtMGysU/edit?usp=sharing"",""สบก!CY28"")"),0)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IFERROR(__xludf.DUMMYFUNCTION("IMPORTRANGE(""https://docs.google.com/spreadsheets/d/1Yj_ptqi66GCucihVvJfMjLAmec39IyEx_6qawtMGysU/edit?usp=sharing"",""สบก!CZ28"")"),0)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IFERROR(__xludf.DUMMYFUNCTION("IMPORTRANGE(""https://docs.google.com/spreadsheets/d/1Yj_ptqi66GCucihVvJfMjLAmec39IyEx_6qawtMGysU/edit?usp=sharing"",""สบก!DA28"")"),0)</f>
        <v>0</v>
      </c>
      <c r="M318" s="103"/>
      <c r="N318" s="93">
        <f ca="1">IFERROR(__xludf.DUMMYFUNCTION("IMPORTRANGE(""https://docs.google.com/spreadsheets/d/1Yj_ptqi66GCucihVvJfMjLAmec39IyEx_6qawtMGysU/edit?usp=sharing"",""สบก!DE28"")"),0)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IFERROR(__xludf.DUMMYFUNCTION("IMPORTRANGE(""https://docs.google.com/spreadsheets/d/11923uPwbBZFjjGgGUA6NLw09EwE0CqkOc4q9oUmW1yo/edit?usp=sharing"",""พิษณุโลก!J220"")"),0)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IFERROR(__xludf.DUMMYFUNCTION("IMPORTRANGE(""https://docs.google.com/spreadsheets/d/11923uPwbBZFjjGgGUA6NLw09EwE0CqkOc4q9oUmW1yo/edit?usp=sharing"",""พิษณุโลก!J221"")"),0)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IFERROR(__xludf.DUMMYFUNCTION("IMPORTRANGE(""https://docs.google.com/spreadsheets/d/11923uPwbBZFjjGgGUA6NLw09EwE0CqkOc4q9oUmW1yo/edit?usp=sharing"",""พิษณุโลก!J222"")"),0)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IFERROR(__xludf.DUMMYFUNCTION("IMPORTRANGE(""https://docs.google.com/spreadsheets/d/11923uPwbBZFjjGgGUA6NLw09EwE0CqkOc4q9oUmW1yo/edit?usp=sharing"",""พิษณุโลก!J223"")"),0)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IFERROR(__xludf.DUMMYFUNCTION("IMPORTRANGE(""https://docs.google.com/spreadsheets/d/11923uPwbBZFjjGgGUA6NLw09EwE0CqkOc4q9oUmW1yo/edit?usp=sharing"",""พิษณุโลก!I224"")"),0)</f>
        <v>0</v>
      </c>
      <c r="J324" s="213">
        <f ca="1">IFERROR(__xludf.DUMMYFUNCTION("IMPORTRANGE(""https://docs.google.com/spreadsheets/d/11923uPwbBZFjjGgGUA6NLw09EwE0CqkOc4q9oUmW1yo/edit?usp=sharing"",""พิษณุโลก!J224"")"),0)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IFERROR(__xludf.DUMMYFUNCTION("IMPORTRANGE(""https://docs.google.com/spreadsheets/d/11923uPwbBZFjjGgGUA6NLw09EwE0CqkOc4q9oUmW1yo/edit?usp=sharing"",""พิษณุโลก!J225"")"),0)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IFERROR(__xludf.DUMMYFUNCTION("IMPORTRANGE(""https://docs.google.com/spreadsheets/d/11923uPwbBZFjjGgGUA6NLw09EwE0CqkOc4q9oUmW1yo/edit?usp=sharing"",""พิษณุโลก!J226"")"),0)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IFERROR(__xludf.DUMMYFUNCTION("IMPORTRANGE(""https://docs.google.com/spreadsheets/d/11923uPwbBZFjjGgGUA6NLw09EwE0CqkOc4q9oUmW1yo/edit?usp=sharing"",""พิษณุโลก!I228"")"),220)</f>
        <v>220</v>
      </c>
      <c r="J328" s="347">
        <f ca="1">IFERROR(__xludf.DUMMYFUNCTION("IMPORTRANGE(""https://docs.google.com/spreadsheets/d/11923uPwbBZFjjGgGUA6NLw09EwE0CqkOc4q9oUmW1yo/edit?usp=sharing"",""พิษณุโลก!J228"")"),70)</f>
        <v>70</v>
      </c>
      <c r="K328" s="325">
        <f ca="1">IF(I328&gt;0,J328*100/I328,0)</f>
        <v>31.818181818181817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693330</v>
      </c>
      <c r="M329" s="158">
        <f t="shared" ca="1" si="98"/>
        <v>372130</v>
      </c>
      <c r="N329" s="158">
        <f t="shared" ca="1" si="98"/>
        <v>285720</v>
      </c>
      <c r="O329" s="157">
        <f t="shared" ref="O329:O331" ca="1" si="99">IF(L329&gt;0,N329*100/L329,0)</f>
        <v>41.209813508718788</v>
      </c>
      <c r="P329" s="157">
        <f t="shared" ref="P329:P331" ca="1" si="100">IF(M329&gt;0,N329*100/M329,0)</f>
        <v>76.779620025259987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693330</v>
      </c>
      <c r="M331" s="163">
        <f t="shared" ca="1" si="102"/>
        <v>372130</v>
      </c>
      <c r="N331" s="163">
        <f t="shared" ca="1" si="102"/>
        <v>285720</v>
      </c>
      <c r="O331" s="162">
        <f t="shared" ca="1" si="99"/>
        <v>41.209813508718788</v>
      </c>
      <c r="P331" s="162">
        <f t="shared" ca="1" si="100"/>
        <v>76.779620025259987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678330</v>
      </c>
      <c r="M333" s="176">
        <f ca="1">IFERROR(__xludf.DUMMYFUNCTION("IMPORTRANGE(""https://docs.google.com/spreadsheets/d/1Yj_ptqi66GCucihVvJfMjLAmec39IyEx_6qawtMGysU/edit?usp=sharing"",""สบก!DL28"")"),372130)</f>
        <v>372130</v>
      </c>
      <c r="N333" s="177">
        <f ca="1">IFERROR(__xludf.DUMMYFUNCTION("IMPORTRANGE(""https://docs.google.com/spreadsheets/d/1Yj_ptqi66GCucihVvJfMjLAmec39IyEx_6qawtMGysU/edit?usp=sharing"",""สบก!DM28"")"),270720)</f>
        <v>270720</v>
      </c>
      <c r="O333" s="178">
        <f ca="1">IF(L333&gt;0,N333*100/L333,0)</f>
        <v>39.909778426429611</v>
      </c>
      <c r="P333" s="178">
        <f ca="1">IF(M333&gt;0,N333*100/M333,0)</f>
        <v>72.748770590922533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IFERROR(__xludf.DUMMYFUNCTION("IMPORTRANGE(""https://docs.google.com/spreadsheets/d/1Yj_ptqi66GCucihVvJfMjLAmec39IyEx_6qawtMGysU/edit?usp=sharing"",""สบก!DH28"")"),306000)</f>
        <v>306000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IFERROR(__xludf.DUMMYFUNCTION("IMPORTRANGE(""https://docs.google.com/spreadsheets/d/1Yj_ptqi66GCucihVvJfMjLAmec39IyEx_6qawtMGysU/edit?usp=sharing"",""สบก!DI28"")"),372330)</f>
        <v>372330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IFERROR(__xludf.DUMMYFUNCTION("IMPORTRANGE(""https://docs.google.com/spreadsheets/d/1Yj_ptqi66GCucihVvJfMjLAmec39IyEx_6qawtMGysU/edit?usp=sharing"",""สบก!DJ28"")"),15000)</f>
        <v>15000</v>
      </c>
      <c r="M337" s="103"/>
      <c r="N337" s="93">
        <f ca="1">IFERROR(__xludf.DUMMYFUNCTION("IMPORTRANGE(""https://docs.google.com/spreadsheets/d/1Yj_ptqi66GCucihVvJfMjLAmec39IyEx_6qawtMGysU/edit?usp=sharing"",""สบก!DN28"")"),15000)</f>
        <v>15000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IFERROR(__xludf.DUMMYFUNCTION("IMPORTRANGE(""https://docs.google.com/spreadsheets/d/11923uPwbBZFjjGgGUA6NLw09EwE0CqkOc4q9oUmW1yo/edit?usp=sharing"",""พิษณุโลก!I234"")"),0)</f>
        <v>0</v>
      </c>
      <c r="J339" s="197">
        <f ca="1">IFERROR(__xludf.DUMMYFUNCTION("IMPORTRANGE(""https://docs.google.com/spreadsheets/d/11923uPwbBZFjjGgGUA6NLw09EwE0CqkOc4q9oUmW1yo/edit?usp=sharing"",""พิษณุโลก!J234"")"),140)</f>
        <v>140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IFERROR(__xludf.DUMMYFUNCTION("IMPORTRANGE(""https://docs.google.com/spreadsheets/d/11923uPwbBZFjjGgGUA6NLw09EwE0CqkOc4q9oUmW1yo/edit?usp=sharing"",""พิษณุโลก!I235"")"),2040)</f>
        <v>2040</v>
      </c>
      <c r="J340" s="197">
        <f ca="1">IFERROR(__xludf.DUMMYFUNCTION("IMPORTRANGE(""https://docs.google.com/spreadsheets/d/11923uPwbBZFjjGgGUA6NLw09EwE0CqkOc4q9oUmW1yo/edit?usp=sharing"",""พิษณุโลก!J235"")"),1458.33)</f>
        <v>1458.33</v>
      </c>
      <c r="K340" s="350">
        <f t="shared" ca="1" si="103"/>
        <v>71.486764705882351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IFERROR(__xludf.DUMMYFUNCTION("IMPORTRANGE(""https://docs.google.com/spreadsheets/d/11923uPwbBZFjjGgGUA6NLw09EwE0CqkOc4q9oUmW1yo/edit?usp=sharing"",""พิษณุโลก!I236"")"),220)</f>
        <v>220</v>
      </c>
      <c r="J341" s="197">
        <f ca="1">IFERROR(__xludf.DUMMYFUNCTION("IMPORTRANGE(""https://docs.google.com/spreadsheets/d/11923uPwbBZFjjGgGUA6NLw09EwE0CqkOc4q9oUmW1yo/edit?usp=sharing"",""พิษณุโลก!J236"")"),150)</f>
        <v>150</v>
      </c>
      <c r="K341" s="350">
        <f t="shared" ca="1" si="103"/>
        <v>68.181818181818187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IFERROR(__xludf.DUMMYFUNCTION("IMPORTRANGE(""https://docs.google.com/spreadsheets/d/11923uPwbBZFjjGgGUA6NLw09EwE0CqkOc4q9oUmW1yo/edit?usp=sharing"",""พิษณุโลก!I237"")"),0)</f>
        <v>0</v>
      </c>
      <c r="J342" s="197">
        <f ca="1">IFERROR(__xludf.DUMMYFUNCTION("IMPORTRANGE(""https://docs.google.com/spreadsheets/d/11923uPwbBZFjjGgGUA6NLw09EwE0CqkOc4q9oUmW1yo/edit?usp=sharing"",""พิษณุโลก!J237"")"),1665.46)</f>
        <v>1665.46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IFERROR(__xludf.DUMMYFUNCTION("IMPORTRANGE(""https://docs.google.com/spreadsheets/d/11923uPwbBZFjjGgGUA6NLw09EwE0CqkOc4q9oUmW1yo/edit?usp=sharing"",""พิษณุโลก!I238"")"),220)</f>
        <v>220</v>
      </c>
      <c r="J343" s="197">
        <f ca="1">IFERROR(__xludf.DUMMYFUNCTION("IMPORTRANGE(""https://docs.google.com/spreadsheets/d/11923uPwbBZFjjGgGUA6NLw09EwE0CqkOc4q9oUmW1yo/edit?usp=sharing"",""พิษณุโลก!J238"")"),0)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IFERROR(__xludf.DUMMYFUNCTION("IMPORTRANGE(""https://docs.google.com/spreadsheets/d/11923uPwbBZFjjGgGUA6NLw09EwE0CqkOc4q9oUmW1yo/edit?usp=sharing"",""พิษณุโลก!I239"")"),0)</f>
        <v>0</v>
      </c>
      <c r="J344" s="197">
        <f ca="1">IFERROR(__xludf.DUMMYFUNCTION("IMPORTRANGE(""https://docs.google.com/spreadsheets/d/11923uPwbBZFjjGgGUA6NLw09EwE0CqkOc4q9oUmW1yo/edit?usp=sharing"",""พิษณุโลก!J239"")"),0)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IFERROR(__xludf.DUMMYFUNCTION("IMPORTRANGE(""https://docs.google.com/spreadsheets/d/11923uPwbBZFjjGgGUA6NLw09EwE0CqkOc4q9oUmW1yo/edit?usp=sharing"",""พิษณุโลก!I240"")"),220)</f>
        <v>220</v>
      </c>
      <c r="J345" s="197">
        <f ca="1">IFERROR(__xludf.DUMMYFUNCTION("IMPORTRANGE(""https://docs.google.com/spreadsheets/d/11923uPwbBZFjjGgGUA6NLw09EwE0CqkOc4q9oUmW1yo/edit?usp=sharing"",""พิษณุโลก!J240"")"),70)</f>
        <v>70</v>
      </c>
      <c r="K345" s="350">
        <f t="shared" ca="1" si="103"/>
        <v>31.818181818181817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IFERROR(__xludf.DUMMYFUNCTION("IMPORTRANGE(""https://docs.google.com/spreadsheets/d/11923uPwbBZFjjGgGUA6NLw09EwE0CqkOc4q9oUmW1yo/edit?usp=sharing"",""พิษณุโลก!I241"")"),0)</f>
        <v>0</v>
      </c>
      <c r="J346" s="197">
        <f ca="1">IFERROR(__xludf.DUMMYFUNCTION("IMPORTRANGE(""https://docs.google.com/spreadsheets/d/11923uPwbBZFjjGgGUA6NLw09EwE0CqkOc4q9oUmW1yo/edit?usp=sharing"",""พิษณุโลก!J241"")"),662.13)</f>
        <v>662.13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IFERROR(__xludf.DUMMYFUNCTION("IMPORTRANGE(""https://docs.google.com/spreadsheets/d/11923uPwbBZFjjGgGUA6NLw09EwE0CqkOc4q9oUmW1yo/edit?usp=sharing"",""พิษณุโลก!L242"")"),2734339)</f>
        <v>2734339</v>
      </c>
      <c r="M347" s="366"/>
      <c r="N347" s="366">
        <f ca="1">IFERROR(__xludf.DUMMYFUNCTION("IMPORTRANGE(""https://docs.google.com/spreadsheets/d/11923uPwbBZFjjGgGUA6NLw09EwE0CqkOc4q9oUmW1yo/edit?usp=sharing"",""พิษณุโลก!M242"")"),289916.56)</f>
        <v>289916.56</v>
      </c>
      <c r="O347" s="366">
        <f ca="1">+IF(L347&gt;0,N347*100/L347,0)</f>
        <v>10.602802359180775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IFERROR(__xludf.DUMMYFUNCTION("IMPORTRANGE(""https://docs.google.com/spreadsheets/d/11923uPwbBZFjjGgGUA6NLw09EwE0CqkOc4q9oUmW1yo/edit?usp=sharing"",""พิษณุโลก!I244"")"),0)</f>
        <v>0</v>
      </c>
      <c r="J349" s="379">
        <f ca="1">IFERROR(__xludf.DUMMYFUNCTION("IMPORTRANGE(""https://docs.google.com/spreadsheets/d/11923uPwbBZFjjGgGUA6NLw09EwE0CqkOc4q9oUmW1yo/edit?usp=sharing"",""พิษณุโลก!J244"")"),0)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IFERROR(__xludf.DUMMYFUNCTION("IMPORTRANGE(""https://docs.google.com/spreadsheets/d/11923uPwbBZFjjGgGUA6NLw09EwE0CqkOc4q9oUmW1yo/edit?usp=sharing"",""พิษณุโลก!L244"")"),0)</f>
        <v>0</v>
      </c>
      <c r="M349" s="381"/>
      <c r="N349" s="381">
        <f ca="1">IFERROR(__xludf.DUMMYFUNCTION("IMPORTRANGE(""https://docs.google.com/spreadsheets/d/11923uPwbBZFjjGgGUA6NLw09EwE0CqkOc4q9oUmW1yo/edit?usp=sharing"",""พิษณุโลก!M244"")"),0)</f>
        <v>0</v>
      </c>
      <c r="O349" s="381">
        <f ca="1">+IF(L349&gt;0,N349*100/L349,0)</f>
        <v>0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IFERROR(__xludf.DUMMYFUNCTION("IMPORTRANGE(""https://docs.google.com/spreadsheets/d/11923uPwbBZFjjGgGUA6NLw09EwE0CqkOc4q9oUmW1yo/edit?usp=sharing"",""พิษณุโลก!I245"")"),0)</f>
        <v>0</v>
      </c>
      <c r="J350" s="379">
        <f ca="1">IFERROR(__xludf.DUMMYFUNCTION("IMPORTRANGE(""https://docs.google.com/spreadsheets/d/11923uPwbBZFjjGgGUA6NLw09EwE0CqkOc4q9oUmW1yo/edit?usp=sharing"",""พิษณุโลก!J245"")"),0)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IFERROR(__xludf.DUMMYFUNCTION("IMPORTRANGE(""https://docs.google.com/spreadsheets/d/11923uPwbBZFjjGgGUA6NLw09EwE0CqkOc4q9oUmW1yo/edit?usp=sharing"",""พิษณุโลก!L246"")"),0)</f>
        <v>0</v>
      </c>
      <c r="M351" s="172"/>
      <c r="N351" s="172">
        <f ca="1">IFERROR(__xludf.DUMMYFUNCTION("IMPORTRANGE(""https://docs.google.com/spreadsheets/d/11923uPwbBZFjjGgGUA6NLw09EwE0CqkOc4q9oUmW1yo/edit?usp=sharing"",""พิษณุโลก!M246"")"),0)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IFERROR(__xludf.DUMMYFUNCTION("IMPORTRANGE(""https://docs.google.com/spreadsheets/d/11923uPwbBZFjjGgGUA6NLw09EwE0CqkOc4q9oUmW1yo/edit?usp=sharing"",""พิษณุโลก!L247"")"),0)</f>
        <v>0</v>
      </c>
      <c r="M352" s="173"/>
      <c r="N352" s="172">
        <f ca="1">IFERROR(__xludf.DUMMYFUNCTION("IMPORTRANGE(""https://docs.google.com/spreadsheets/d/11923uPwbBZFjjGgGUA6NLw09EwE0CqkOc4q9oUmW1yo/edit?usp=sharing"",""พิษณุโลก!M247"")"),0)</f>
        <v>0</v>
      </c>
      <c r="O352" s="173">
        <f t="shared" ca="1" si="105"/>
        <v>0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IFERROR(__xludf.DUMMYFUNCTION("IMPORTRANGE(""https://docs.google.com/spreadsheets/d/11923uPwbBZFjjGgGUA6NLw09EwE0CqkOc4q9oUmW1yo/edit?usp=sharing"",""พิษณุโลก!L248"")"),0)</f>
        <v>0</v>
      </c>
      <c r="M353" s="178"/>
      <c r="N353" s="178">
        <f ca="1">IFERROR(__xludf.DUMMYFUNCTION("IMPORTRANGE(""https://docs.google.com/spreadsheets/d/11923uPwbBZFjjGgGUA6NLw09EwE0CqkOc4q9oUmW1yo/edit?usp=sharing"",""พิษณุโลก!M248"")"),0)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IFERROR(__xludf.DUMMYFUNCTION("IMPORTRANGE(""https://docs.google.com/spreadsheets/d/11923uPwbBZFjjGgGUA6NLw09EwE0CqkOc4q9oUmW1yo/edit?usp=sharing"",""พิษณุโลก!L249"")"),0)</f>
        <v>0</v>
      </c>
      <c r="M354" s="178"/>
      <c r="N354" s="175">
        <f ca="1">IFERROR(__xludf.DUMMYFUNCTION("IMPORTRANGE(""https://docs.google.com/spreadsheets/d/11923uPwbBZFjjGgGUA6NLw09EwE0CqkOc4q9oUmW1yo/edit?usp=sharing"",""พิษณุโลก!M249"")"),0)</f>
        <v>0</v>
      </c>
      <c r="O354" s="178">
        <f t="shared" ca="1" si="105"/>
        <v>0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IFERROR(__xludf.DUMMYFUNCTION("IMPORTRANGE(""https://docs.google.com/spreadsheets/d/11923uPwbBZFjjGgGUA6NLw09EwE0CqkOc4q9oUmW1yo/edit?usp=sharing"",""พิษณุโลก!M250"")"),0)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IFERROR(__xludf.DUMMYFUNCTION("IMPORTRANGE(""https://docs.google.com/spreadsheets/d/11923uPwbBZFjjGgGUA6NLw09EwE0CqkOc4q9oUmW1yo/edit?usp=sharing"",""พิษณุโลก!M251"")"),0)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IFERROR(__xludf.DUMMYFUNCTION("IMPORTRANGE(""https://docs.google.com/spreadsheets/d/11923uPwbBZFjjGgGUA6NLw09EwE0CqkOc4q9oUmW1yo/edit?usp=sharing"",""พิษณุโลก!M252"")"),0)</f>
        <v>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IFERROR(__xludf.DUMMYFUNCTION("IMPORTRANGE(""https://docs.google.com/spreadsheets/d/11923uPwbBZFjjGgGUA6NLw09EwE0CqkOc4q9oUmW1yo/edit?usp=sharing"",""พิษณุโลก!M253"")"),0)</f>
        <v>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IFERROR(__xludf.DUMMYFUNCTION("IMPORTRANGE(""https://docs.google.com/spreadsheets/d/11923uPwbBZFjjGgGUA6NLw09EwE0CqkOc4q9oUmW1yo/edit?usp=sharing"",""พิษณุโลก!J255"")"),0)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IFERROR(__xludf.DUMMYFUNCTION("IMPORTRANGE(""https://docs.google.com/spreadsheets/d/11923uPwbBZFjjGgGUA6NLw09EwE0CqkOc4q9oUmW1yo/edit?usp=sharing"",""พิษณุโลก!J256"")"),0)</f>
        <v>0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IFERROR(__xludf.DUMMYFUNCTION("IMPORTRANGE(""https://docs.google.com/spreadsheets/d/11923uPwbBZFjjGgGUA6NLw09EwE0CqkOc4q9oUmW1yo/edit?usp=sharing"",""พิษณุโลก!J257"")"),0)</f>
        <v>0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IFERROR(__xludf.DUMMYFUNCTION("IMPORTRANGE(""https://docs.google.com/spreadsheets/d/11923uPwbBZFjjGgGUA6NLw09EwE0CqkOc4q9oUmW1yo/edit?usp=sharing"",""พิษณุโลก!J258"")"),0)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IFERROR(__xludf.DUMMYFUNCTION("IMPORTRANGE(""https://docs.google.com/spreadsheets/d/11923uPwbBZFjjGgGUA6NLw09EwE0CqkOc4q9oUmW1yo/edit?usp=sharing"",""พิษณุโลก!J166"")"),0)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IFERROR(__xludf.DUMMYFUNCTION("IMPORTRANGE(""https://docs.google.com/spreadsheets/d/11923uPwbBZFjjGgGUA6NLw09EwE0CqkOc4q9oUmW1yo/edit?usp=sharing"",""พิษณุโลก!J166"")"),0)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IFERROR(__xludf.DUMMYFUNCTION("IMPORTRANGE(""https://docs.google.com/spreadsheets/d/11923uPwbBZFjjGgGUA6NLw09EwE0CqkOc4q9oUmW1yo/edit?usp=sharing"",""พิษณุโลก!J166"")"),0)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IFERROR(__xludf.DUMMYFUNCTION("IMPORTRANGE(""https://docs.google.com/spreadsheets/d/11923uPwbBZFjjGgGUA6NLw09EwE0CqkOc4q9oUmW1yo/edit?usp=sharing"",""พิษณุโลก!J166"")"),0)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IFERROR(__xludf.DUMMYFUNCTION("IMPORTRANGE(""https://docs.google.com/spreadsheets/d/11923uPwbBZFjjGgGUA6NLw09EwE0CqkOc4q9oUmW1yo/edit?usp=sharing"",""พิษณุโลก!I263"")"),0)</f>
        <v>0</v>
      </c>
      <c r="J368" s="197">
        <f ca="1">IFERROR(__xludf.DUMMYFUNCTION("IMPORTRANGE(""https://docs.google.com/spreadsheets/d/11923uPwbBZFjjGgGUA6NLw09EwE0CqkOc4q9oUmW1yo/edit?usp=sharing"",""พิษณุโลก!J263"")"),0)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IFERROR(__xludf.DUMMYFUNCTION("IMPORTRANGE(""https://docs.google.com/spreadsheets/d/11923uPwbBZFjjGgGUA6NLw09EwE0CqkOc4q9oUmW1yo/edit?usp=sharing"",""พิษณุโลก!I164"")"),0)</f>
        <v>0</v>
      </c>
      <c r="J369" s="213">
        <f ca="1">IFERROR(__xludf.DUMMYFUNCTION("IMPORTRANGE(""https://docs.google.com/spreadsheets/d/11923uPwbBZFjjGgGUA6NLw09EwE0CqkOc4q9oUmW1yo/edit?usp=sharing"",""พิษณุโลก!J164"")"),0)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IFERROR(__xludf.DUMMYFUNCTION("IMPORTRANGE(""https://docs.google.com/spreadsheets/d/11923uPwbBZFjjGgGUA6NLw09EwE0CqkOc4q9oUmW1yo/edit?usp=sharing"",""พิษณุโลก!I265"")"),0)</f>
        <v>0</v>
      </c>
      <c r="J370" s="213">
        <f ca="1">IFERROR(__xludf.DUMMYFUNCTION("IMPORTRANGE(""https://docs.google.com/spreadsheets/d/11923uPwbBZFjjGgGUA6NLw09EwE0CqkOc4q9oUmW1yo/edit?usp=sharing"",""พิษณุโลก!J265"")"),0)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IFERROR(__xludf.DUMMYFUNCTION("IMPORTRANGE(""https://docs.google.com/spreadsheets/d/11923uPwbBZFjjGgGUA6NLw09EwE0CqkOc4q9oUmW1yo/edit?usp=sharing"",""พิษณุโลก!I164"")"),0)</f>
        <v>0</v>
      </c>
      <c r="J371" s="198">
        <f ca="1">IFERROR(__xludf.DUMMYFUNCTION("IMPORTRANGE(""https://docs.google.com/spreadsheets/d/11923uPwbBZFjjGgGUA6NLw09EwE0CqkOc4q9oUmW1yo/edit?usp=sharing"",""พิษณุโลก!J164"")"),0)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IFERROR(__xludf.DUMMYFUNCTION("IMPORTRANGE(""https://docs.google.com/spreadsheets/d/11923uPwbBZFjjGgGUA6NLw09EwE0CqkOc4q9oUmW1yo/edit?usp=sharing"",""พิษณุโลก!I267"")"),0)</f>
        <v>0</v>
      </c>
      <c r="J372" s="198">
        <f ca="1">IFERROR(__xludf.DUMMYFUNCTION("IMPORTRANGE(""https://docs.google.com/spreadsheets/d/11923uPwbBZFjjGgGUA6NLw09EwE0CqkOc4q9oUmW1yo/edit?usp=sharing"",""พิษณุโลก!J267"")"),0)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IFERROR(__xludf.DUMMYFUNCTION("IMPORTRANGE(""https://docs.google.com/spreadsheets/d/11923uPwbBZFjjGgGUA6NLw09EwE0CqkOc4q9oUmW1yo/edit?usp=sharing"",""พิษณุโลก!I164"")"),0)</f>
        <v>0</v>
      </c>
      <c r="J373" s="213">
        <f ca="1">IFERROR(__xludf.DUMMYFUNCTION("IMPORTRANGE(""https://docs.google.com/spreadsheets/d/11923uPwbBZFjjGgGUA6NLw09EwE0CqkOc4q9oUmW1yo/edit?usp=sharing"",""พิษณุโลก!J164"")"),0)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IFERROR(__xludf.DUMMYFUNCTION("IMPORTRANGE(""https://docs.google.com/spreadsheets/d/11923uPwbBZFjjGgGUA6NLw09EwE0CqkOc4q9oUmW1yo/edit?usp=sharing"",""พิษณุโลก!I164"")"),0)</f>
        <v>0</v>
      </c>
      <c r="J374" s="197">
        <f ca="1">IFERROR(__xludf.DUMMYFUNCTION("IMPORTRANGE(""https://docs.google.com/spreadsheets/d/11923uPwbBZFjjGgGUA6NLw09EwE0CqkOc4q9oUmW1yo/edit?usp=sharing"",""พิษณุโลก!J164"")"),0)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IFERROR(__xludf.DUMMYFUNCTION("IMPORTRANGE(""https://docs.google.com/spreadsheets/d/11923uPwbBZFjjGgGUA6NLw09EwE0CqkOc4q9oUmW1yo/edit?usp=sharing"",""พิษณุโลก!I270"")"),0)</f>
        <v>0</v>
      </c>
      <c r="J375" s="197">
        <f ca="1">IFERROR(__xludf.DUMMYFUNCTION("IMPORTRANGE(""https://docs.google.com/spreadsheets/d/11923uPwbBZFjjGgGUA6NLw09EwE0CqkOc4q9oUmW1yo/edit?usp=sharing"",""พิษณุโลก!J270"")"),0)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IFERROR(__xludf.DUMMYFUNCTION("IMPORTRANGE(""https://docs.google.com/spreadsheets/d/11923uPwbBZFjjGgGUA6NLw09EwE0CqkOc4q9oUmW1yo/edit?usp=sharing"",""พิษณุโลก!I271"")"),0)</f>
        <v>0</v>
      </c>
      <c r="J376" s="198">
        <f ca="1">IFERROR(__xludf.DUMMYFUNCTION("IMPORTRANGE(""https://docs.google.com/spreadsheets/d/11923uPwbBZFjjGgGUA6NLw09EwE0CqkOc4q9oUmW1yo/edit?usp=sharing"",""พิษณุโลก!J271"")"),0)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IFERROR(__xludf.DUMMYFUNCTION("IMPORTRANGE(""https://docs.google.com/spreadsheets/d/11923uPwbBZFjjGgGUA6NLw09EwE0CqkOc4q9oUmW1yo/edit?usp=sharing"",""พิษณุโลก!I272"")"),0)</f>
        <v>0</v>
      </c>
      <c r="J377" s="213">
        <f ca="1">IFERROR(__xludf.DUMMYFUNCTION("IMPORTRANGE(""https://docs.google.com/spreadsheets/d/11923uPwbBZFjjGgGUA6NLw09EwE0CqkOc4q9oUmW1yo/edit?usp=sharing"",""พิษณุโลก!J272"")"),0)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IFERROR(__xludf.DUMMYFUNCTION("IMPORTRANGE(""https://docs.google.com/spreadsheets/d/11923uPwbBZFjjGgGUA6NLw09EwE0CqkOc4q9oUmW1yo/edit?usp=sharing"",""พิษณุโลก!J273"")"),0)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IFERROR(__xludf.DUMMYFUNCTION("IMPORTRANGE(""https://docs.google.com/spreadsheets/d/11923uPwbBZFjjGgGUA6NLw09EwE0CqkOc4q9oUmW1yo/edit?usp=sharing"",""พิษณุโลก!J274"")"),0)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IFERROR(__xludf.DUMMYFUNCTION("IMPORTRANGE(""https://docs.google.com/spreadsheets/d/11923uPwbBZFjjGgGUA6NLw09EwE0CqkOc4q9oUmW1yo/edit?usp=sharing"",""พิษณุโลก!I275"")"),1000)</f>
        <v>1000</v>
      </c>
      <c r="J380" s="379">
        <f ca="1">IFERROR(__xludf.DUMMYFUNCTION("IMPORTRANGE(""https://docs.google.com/spreadsheets/d/11923uPwbBZFjjGgGUA6NLw09EwE0CqkOc4q9oUmW1yo/edit?usp=sharing"",""พิษณุโลก!J275"")"),1000)</f>
        <v>1000</v>
      </c>
      <c r="K380" s="380">
        <f t="shared" ref="K380:K381" ca="1" si="108">IF(I380&gt;0,J380*100/I380,0)</f>
        <v>100</v>
      </c>
      <c r="L380" s="381">
        <f ca="1">IFERROR(__xludf.DUMMYFUNCTION("IMPORTRANGE(""https://docs.google.com/spreadsheets/d/11923uPwbBZFjjGgGUA6NLw09EwE0CqkOc4q9oUmW1yo/edit?usp=sharing"",""พิษณุโลก!L275"")"),1028520)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IFERROR(__xludf.DUMMYFUNCTION("IMPORTRANGE(""https://docs.google.com/spreadsheets/d/11923uPwbBZFjjGgGUA6NLw09EwE0CqkOc4q9oUmW1yo/edit?usp=sharing"",""พิษณุโลก!M275"")"),59180.09)</f>
        <v>59180.09</v>
      </c>
      <c r="O380" s="381">
        <f ca="1">+IF(L380&gt;0,N380*100/L380,0)</f>
        <v>5.7539075564889357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IFERROR(__xludf.DUMMYFUNCTION("IMPORTRANGE(""https://docs.google.com/spreadsheets/d/11923uPwbBZFjjGgGUA6NLw09EwE0CqkOc4q9oUmW1yo/edit?usp=sharing"",""พิษณุโลก!I276"")"),100)</f>
        <v>100</v>
      </c>
      <c r="J381" s="379">
        <f ca="1">IFERROR(__xludf.DUMMYFUNCTION("IMPORTRANGE(""https://docs.google.com/spreadsheets/d/11923uPwbBZFjjGgGUA6NLw09EwE0CqkOc4q9oUmW1yo/edit?usp=sharing"",""พิษณุโลก!J276"")"),100)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IFERROR(__xludf.DUMMYFUNCTION("IMPORTRANGE(""https://docs.google.com/spreadsheets/d/11923uPwbBZFjjGgGUA6NLw09EwE0CqkOc4q9oUmW1yo/edit?usp=sharing"",""พิษณุโลก!L277"")"),0)</f>
        <v>0</v>
      </c>
      <c r="M382" s="172"/>
      <c r="N382" s="172">
        <f ca="1">IFERROR(__xludf.DUMMYFUNCTION("IMPORTRANGE(""https://docs.google.com/spreadsheets/d/11923uPwbBZFjjGgGUA6NLw09EwE0CqkOc4q9oUmW1yo/edit?usp=sharing"",""พิษณุโลก!M277"")"),0)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IFERROR(__xludf.DUMMYFUNCTION("IMPORTRANGE(""https://docs.google.com/spreadsheets/d/11923uPwbBZFjjGgGUA6NLw09EwE0CqkOc4q9oUmW1yo/edit?usp=sharing"",""พิษณุโลก!L278"")"),1028520)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IFERROR(__xludf.DUMMYFUNCTION("IMPORTRANGE(""https://docs.google.com/spreadsheets/d/11923uPwbBZFjjGgGUA6NLw09EwE0CqkOc4q9oUmW1yo/edit?usp=sharing"",""พิษณุโลก!M278"")"),59180.09)</f>
        <v>59180.09</v>
      </c>
      <c r="O383" s="173">
        <f t="shared" ca="1" si="109"/>
        <v>5.7539075564889357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IFERROR(__xludf.DUMMYFUNCTION("IMPORTRANGE(""https://docs.google.com/spreadsheets/d/11923uPwbBZFjjGgGUA6NLw09EwE0CqkOc4q9oUmW1yo/edit?usp=sharing"",""พิษณุโลก!L279"")"),0)</f>
        <v>0</v>
      </c>
      <c r="M384" s="178"/>
      <c r="N384" s="178">
        <f ca="1">IFERROR(__xludf.DUMMYFUNCTION("IMPORTRANGE(""https://docs.google.com/spreadsheets/d/11923uPwbBZFjjGgGUA6NLw09EwE0CqkOc4q9oUmW1yo/edit?usp=sharing"",""พิษณุโลก!M279"")"),0)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IFERROR(__xludf.DUMMYFUNCTION("IMPORTRANGE(""https://docs.google.com/spreadsheets/d/11923uPwbBZFjjGgGUA6NLw09EwE0CqkOc4q9oUmW1yo/edit?usp=sharing"",""พิษณุโลก!L280"")"),1028520)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IFERROR(__xludf.DUMMYFUNCTION("IMPORTRANGE(""https://docs.google.com/spreadsheets/d/11923uPwbBZFjjGgGUA6NLw09EwE0CqkOc4q9oUmW1yo/edit?usp=sharing"",""พิษณุโลก!M280"")"),59180.09)</f>
        <v>59180.09</v>
      </c>
      <c r="O385" s="178">
        <f t="shared" ca="1" si="109"/>
        <v>5.7539075564889357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IFERROR(__xludf.DUMMYFUNCTION("IMPORTRANGE(""https://docs.google.com/spreadsheets/d/11923uPwbBZFjjGgGUA6NLw09EwE0CqkOc4q9oUmW1yo/edit?usp=sharing"",""พิษณุโลก!M281"")"),25800)</f>
        <v>25800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IFERROR(__xludf.DUMMYFUNCTION("IMPORTRANGE(""https://docs.google.com/spreadsheets/d/11923uPwbBZFjjGgGUA6NLw09EwE0CqkOc4q9oUmW1yo/edit?usp=sharing"",""พิษณุโลก!M282"")"),0)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IFERROR(__xludf.DUMMYFUNCTION("IMPORTRANGE(""https://docs.google.com/spreadsheets/d/11923uPwbBZFjjGgGUA6NLw09EwE0CqkOc4q9oUmW1yo/edit?usp=sharing"",""พิษณุโลก!M283"")"),31900.09)</f>
        <v>31900.09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IFERROR(__xludf.DUMMYFUNCTION("IMPORTRANGE(""https://docs.google.com/spreadsheets/d/11923uPwbBZFjjGgGUA6NLw09EwE0CqkOc4q9oUmW1yo/edit?usp=sharing"",""พิษณุโลก!M284"")"),1480)</f>
        <v>1480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IFERROR(__xludf.DUMMYFUNCTION("IMPORTRANGE(""https://docs.google.com/spreadsheets/d/11923uPwbBZFjjGgGUA6NLw09EwE0CqkOc4q9oUmW1yo/edit?usp=sharing"",""พิษณุโลก!J286"")"),0)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IFERROR(__xludf.DUMMYFUNCTION("IMPORTRANGE(""https://docs.google.com/spreadsheets/d/11923uPwbBZFjjGgGUA6NLw09EwE0CqkOc4q9oUmW1yo/edit?usp=sharing"",""พิษณุโลก!J287"")"),1)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IFERROR(__xludf.DUMMYFUNCTION("IMPORTRANGE(""https://docs.google.com/spreadsheets/d/11923uPwbBZFjjGgGUA6NLw09EwE0CqkOc4q9oUmW1yo/edit?usp=sharing"",""พิษณุโลก!J288"")"),1)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IFERROR(__xludf.DUMMYFUNCTION("IMPORTRANGE(""https://docs.google.com/spreadsheets/d/11923uPwbBZFjjGgGUA6NLw09EwE0CqkOc4q9oUmW1yo/edit?usp=sharing"",""พิษณุโลก!J289"")"),1)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IFERROR(__xludf.DUMMYFUNCTION("IMPORTRANGE(""https://docs.google.com/spreadsheets/d/11923uPwbBZFjjGgGUA6NLw09EwE0CqkOc4q9oUmW1yo/edit?usp=sharing"",""พิษณุโลก!I291"")"),100)</f>
        <v>100</v>
      </c>
      <c r="J396" s="207">
        <f ca="1">IFERROR(__xludf.DUMMYFUNCTION("IMPORTRANGE(""https://docs.google.com/spreadsheets/d/11923uPwbBZFjjGgGUA6NLw09EwE0CqkOc4q9oUmW1yo/edit?usp=sharing"",""พิษณุโลก!J291"")"),100)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IFERROR(__xludf.DUMMYFUNCTION("IMPORTRANGE(""https://docs.google.com/spreadsheets/d/11923uPwbBZFjjGgGUA6NLw09EwE0CqkOc4q9oUmW1yo/edit?usp=sharing"",""พิษณุโลก!I292"")"),1000)</f>
        <v>1000</v>
      </c>
      <c r="J397" s="207">
        <f ca="1">IFERROR(__xludf.DUMMYFUNCTION("IMPORTRANGE(""https://docs.google.com/spreadsheets/d/11923uPwbBZFjjGgGUA6NLw09EwE0CqkOc4q9oUmW1yo/edit?usp=sharing"",""พิษณุโลก!J292"")"),1000)</f>
        <v>1000</v>
      </c>
      <c r="K397" s="171">
        <f t="shared" ca="1" si="110"/>
        <v>100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IFERROR(__xludf.DUMMYFUNCTION("IMPORTRANGE(""https://docs.google.com/spreadsheets/d/11923uPwbBZFjjGgGUA6NLw09EwE0CqkOc4q9oUmW1yo/edit?usp=sharing"",""พิษณุโลก!I293"")"),100)</f>
        <v>100</v>
      </c>
      <c r="J398" s="207">
        <f ca="1">IFERROR(__xludf.DUMMYFUNCTION("IMPORTRANGE(""https://docs.google.com/spreadsheets/d/11923uPwbBZFjjGgGUA6NLw09EwE0CqkOc4q9oUmW1yo/edit?usp=sharing"",""พิษณุโลก!J293"")"),0)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IFERROR(__xludf.DUMMYFUNCTION("IMPORTRANGE(""https://docs.google.com/spreadsheets/d/11923uPwbBZFjjGgGUA6NLw09EwE0CqkOc4q9oUmW1yo/edit?usp=sharing"",""พิษณุโลก!J294"")"),0)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IFERROR(__xludf.DUMMYFUNCTION("IMPORTRANGE(""https://docs.google.com/spreadsheets/d/11923uPwbBZFjjGgGUA6NLw09EwE0CqkOc4q9oUmW1yo/edit?usp=sharing"",""พิษณุโลก!J295"")"),0)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IFERROR(__xludf.DUMMYFUNCTION("IMPORTRANGE(""https://docs.google.com/spreadsheets/d/11923uPwbBZFjjGgGUA6NLw09EwE0CqkOc4q9oUmW1yo/edit?usp=sharing"",""พิษณุโลก!I296"")"),225)</f>
        <v>225</v>
      </c>
      <c r="J401" s="379">
        <f ca="1">IFERROR(__xludf.DUMMYFUNCTION("IMPORTRANGE(""https://docs.google.com/spreadsheets/d/11923uPwbBZFjjGgGUA6NLw09EwE0CqkOc4q9oUmW1yo/edit?usp=sharing"",""พิษณุโลก!J296"")"),195)</f>
        <v>195</v>
      </c>
      <c r="K401" s="380">
        <f t="shared" ref="K401:K402" ca="1" si="111">IF(I401&gt;0,J401*100/I401,0)</f>
        <v>86.666666666666671</v>
      </c>
      <c r="L401" s="381">
        <f ca="1">IFERROR(__xludf.DUMMYFUNCTION("IMPORTRANGE(""https://docs.google.com/spreadsheets/d/11923uPwbBZFjjGgGUA6NLw09EwE0CqkOc4q9oUmW1yo/edit?usp=sharing"",""พิษณุโลก!L296"")"),252320)</f>
        <v>252320</v>
      </c>
      <c r="M401" s="381"/>
      <c r="N401" s="381">
        <f ca="1">IFERROR(__xludf.DUMMYFUNCTION("IMPORTRANGE(""https://docs.google.com/spreadsheets/d/11923uPwbBZFjjGgGUA6NLw09EwE0CqkOc4q9oUmW1yo/edit?usp=sharing"",""พิษณุโลก!M296"")"),75260)</f>
        <v>75260</v>
      </c>
      <c r="O401" s="381">
        <f ca="1">+IF(L401&gt;0,N401*100/L401,0)</f>
        <v>29.827203551046292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IFERROR(__xludf.DUMMYFUNCTION("IMPORTRANGE(""https://docs.google.com/spreadsheets/d/11923uPwbBZFjjGgGUA6NLw09EwE0CqkOc4q9oUmW1yo/edit?usp=sharing"",""พิษณุโลก!I297"")"),75)</f>
        <v>75</v>
      </c>
      <c r="J402" s="379">
        <f ca="1">IFERROR(__xludf.DUMMYFUNCTION("IMPORTRANGE(""https://docs.google.com/spreadsheets/d/11923uPwbBZFjjGgGUA6NLw09EwE0CqkOc4q9oUmW1yo/edit?usp=sharing"",""พิษณุโลก!J297"")"),65)</f>
        <v>65</v>
      </c>
      <c r="K402" s="380">
        <f t="shared" ca="1" si="111"/>
        <v>86.666666666666671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IFERROR(__xludf.DUMMYFUNCTION("IMPORTRANGE(""https://docs.google.com/spreadsheets/d/11923uPwbBZFjjGgGUA6NLw09EwE0CqkOc4q9oUmW1yo/edit?usp=sharing"",""พิษณุโลก!L298"")"),0)</f>
        <v>0</v>
      </c>
      <c r="M403" s="172"/>
      <c r="N403" s="178">
        <f ca="1">IFERROR(__xludf.DUMMYFUNCTION("IMPORTRANGE(""https://docs.google.com/spreadsheets/d/11923uPwbBZFjjGgGUA6NLw09EwE0CqkOc4q9oUmW1yo/edit?usp=sharing"",""พิษณุโลก!M298"")"),0)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IFERROR(__xludf.DUMMYFUNCTION("IMPORTRANGE(""https://docs.google.com/spreadsheets/d/11923uPwbBZFjjGgGUA6NLw09EwE0CqkOc4q9oUmW1yo/edit?usp=sharing"",""พิษณุโลก!L299"")"),252320)</f>
        <v>252320</v>
      </c>
      <c r="M404" s="173"/>
      <c r="N404" s="178">
        <f ca="1">IFERROR(__xludf.DUMMYFUNCTION("IMPORTRANGE(""https://docs.google.com/spreadsheets/d/11923uPwbBZFjjGgGUA6NLw09EwE0CqkOc4q9oUmW1yo/edit?usp=sharing"",""พิษณุโลก!M299"")"),75260)</f>
        <v>75260</v>
      </c>
      <c r="O404" s="178">
        <f t="shared" ca="1" si="112"/>
        <v>29.827203551046292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IFERROR(__xludf.DUMMYFUNCTION("IMPORTRANGE(""https://docs.google.com/spreadsheets/d/11923uPwbBZFjjGgGUA6NLw09EwE0CqkOc4q9oUmW1yo/edit?usp=sharing"",""พิษณุโลก!L300"")"),0)</f>
        <v>0</v>
      </c>
      <c r="M405" s="178"/>
      <c r="N405" s="178">
        <f ca="1">IFERROR(__xludf.DUMMYFUNCTION("IMPORTRANGE(""https://docs.google.com/spreadsheets/d/11923uPwbBZFjjGgGUA6NLw09EwE0CqkOc4q9oUmW1yo/edit?usp=sharing"",""พิษณุโลก!M300"")"),0)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IFERROR(__xludf.DUMMYFUNCTION("IMPORTRANGE(""https://docs.google.com/spreadsheets/d/11923uPwbBZFjjGgGUA6NLw09EwE0CqkOc4q9oUmW1yo/edit?usp=sharing"",""พิษณุโลก!L301"")"),252320)</f>
        <v>252320</v>
      </c>
      <c r="M406" s="178"/>
      <c r="N406" s="178">
        <f ca="1">IFERROR(__xludf.DUMMYFUNCTION("IMPORTRANGE(""https://docs.google.com/spreadsheets/d/11923uPwbBZFjjGgGUA6NLw09EwE0CqkOc4q9oUmW1yo/edit?usp=sharing"",""พิษณุโลก!M301"")"),75260)</f>
        <v>75260</v>
      </c>
      <c r="O406" s="178">
        <f t="shared" ca="1" si="112"/>
        <v>29.827203551046292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IFERROR(__xludf.DUMMYFUNCTION("IMPORTRANGE(""https://docs.google.com/spreadsheets/d/11923uPwbBZFjjGgGUA6NLw09EwE0CqkOc4q9oUmW1yo/edit?usp=sharing"",""พิษณุโลก!M302"")"),75260)</f>
        <v>75260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IFERROR(__xludf.DUMMYFUNCTION("IMPORTRANGE(""https://docs.google.com/spreadsheets/d/11923uPwbBZFjjGgGUA6NLw09EwE0CqkOc4q9oUmW1yo/edit?usp=sharing"",""พิษณุโลก!M303"")"),0)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IFERROR(__xludf.DUMMYFUNCTION("IMPORTRANGE(""https://docs.google.com/spreadsheets/d/11923uPwbBZFjjGgGUA6NLw09EwE0CqkOc4q9oUmW1yo/edit?usp=sharing"",""พิษณุโลก!M304"")"),0)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IFERROR(__xludf.DUMMYFUNCTION("IMPORTRANGE(""https://docs.google.com/spreadsheets/d/11923uPwbBZFjjGgGUA6NLw09EwE0CqkOc4q9oUmW1yo/edit?usp=sharing"",""พิษณุโลก!M305"")"),0)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IFERROR(__xludf.DUMMYFUNCTION("IMPORTRANGE(""https://docs.google.com/spreadsheets/d/11923uPwbBZFjjGgGUA6NLw09EwE0CqkOc4q9oUmW1yo/edit?usp=sharing"",""พิษณุโลก!J307"")"),0)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IFERROR(__xludf.DUMMYFUNCTION("IMPORTRANGE(""https://docs.google.com/spreadsheets/d/11923uPwbBZFjjGgGUA6NLw09EwE0CqkOc4q9oUmW1yo/edit?usp=sharing"",""พิษณุโลก!J308"")"),1)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IFERROR(__xludf.DUMMYFUNCTION("IMPORTRANGE(""https://docs.google.com/spreadsheets/d/11923uPwbBZFjjGgGUA6NLw09EwE0CqkOc4q9oUmW1yo/edit?usp=sharing"",""พิษณุโลก!J309"")"),1)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IFERROR(__xludf.DUMMYFUNCTION("IMPORTRANGE(""https://docs.google.com/spreadsheets/d/11923uPwbBZFjjGgGUA6NLw09EwE0CqkOc4q9oUmW1yo/edit?usp=sharing"",""พิษณุโลก!J310"")"),1)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IFERROR(__xludf.DUMMYFUNCTION("IMPORTRANGE(""https://docs.google.com/spreadsheets/d/11923uPwbBZFjjGgGUA6NLw09EwE0CqkOc4q9oUmW1yo/edit?usp=sharing"",""พิษณุโลก!I311"")"),75)</f>
        <v>75</v>
      </c>
      <c r="J416" s="210">
        <f ca="1">IFERROR(__xludf.DUMMYFUNCTION("IMPORTRANGE(""https://docs.google.com/spreadsheets/d/11923uPwbBZFjjGgGUA6NLw09EwE0CqkOc4q9oUmW1yo/edit?usp=sharing"",""พิษณุโลก!J311"")"),65)</f>
        <v>65</v>
      </c>
      <c r="K416" s="211">
        <f t="shared" ref="K416:K432" ca="1" si="113">IF(I416&gt;0,J416*100/I416,0)</f>
        <v>86.666666666666671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IFERROR(__xludf.DUMMYFUNCTION("IMPORTRANGE(""https://docs.google.com/spreadsheets/d/11923uPwbBZFjjGgGUA6NLw09EwE0CqkOc4q9oUmW1yo/edit?usp=sharing"",""พิษณุโลก!I312"")"),25)</f>
        <v>25</v>
      </c>
      <c r="J417" s="400">
        <f ca="1">IFERROR(__xludf.DUMMYFUNCTION("IMPORTRANGE(""https://docs.google.com/spreadsheets/d/11923uPwbBZFjjGgGUA6NLw09EwE0CqkOc4q9oUmW1yo/edit?usp=sharing"",""พิษณุโลก!J312"")"),25)</f>
        <v>25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IFERROR(__xludf.DUMMYFUNCTION("IMPORTRANGE(""https://docs.google.com/spreadsheets/d/11923uPwbBZFjjGgGUA6NLw09EwE0CqkOc4q9oUmW1yo/edit?usp=sharing"",""พิษณุโลก!I313"")"),75)</f>
        <v>75</v>
      </c>
      <c r="J418" s="401">
        <f ca="1">IFERROR(__xludf.DUMMYFUNCTION("IMPORTRANGE(""https://docs.google.com/spreadsheets/d/11923uPwbBZFjjGgGUA6NLw09EwE0CqkOc4q9oUmW1yo/edit?usp=sharing"",""พิษณุโลก!J313"")"),75)</f>
        <v>75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IFERROR(__xludf.DUMMYFUNCTION("IMPORTRANGE(""https://docs.google.com/spreadsheets/d/11923uPwbBZFjjGgGUA6NLw09EwE0CqkOc4q9oUmW1yo/edit?usp=sharing"",""พิษณุโลก!I314"")"),25)</f>
        <v>25</v>
      </c>
      <c r="J419" s="402">
        <f ca="1">IFERROR(__xludf.DUMMYFUNCTION("IMPORTRANGE(""https://docs.google.com/spreadsheets/d/11923uPwbBZFjjGgGUA6NLw09EwE0CqkOc4q9oUmW1yo/edit?usp=sharing"",""พิษณุโลก!J314"")"),25)</f>
        <v>25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IFERROR(__xludf.DUMMYFUNCTION("IMPORTRANGE(""https://docs.google.com/spreadsheets/d/11923uPwbBZFjjGgGUA6NLw09EwE0CqkOc4q9oUmW1yo/edit?usp=sharing"",""พิษณุโลก!I315"")"),25)</f>
        <v>25</v>
      </c>
      <c r="J420" s="402">
        <f ca="1">IFERROR(__xludf.DUMMYFUNCTION("IMPORTRANGE(""https://docs.google.com/spreadsheets/d/11923uPwbBZFjjGgGUA6NLw09EwE0CqkOc4q9oUmW1yo/edit?usp=sharing"",""พิษณุโลก!J315"")"),25)</f>
        <v>25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IFERROR(__xludf.DUMMYFUNCTION("IMPORTRANGE(""https://docs.google.com/spreadsheets/d/11923uPwbBZFjjGgGUA6NLw09EwE0CqkOc4q9oUmW1yo/edit?usp=sharing"",""พิษณุโลก!I316"")"),40)</f>
        <v>40</v>
      </c>
      <c r="J421" s="400">
        <f ca="1">IFERROR(__xludf.DUMMYFUNCTION("IMPORTRANGE(""https://docs.google.com/spreadsheets/d/11923uPwbBZFjjGgGUA6NLw09EwE0CqkOc4q9oUmW1yo/edit?usp=sharing"",""พิษณุโลก!J316"")"),40)</f>
        <v>40</v>
      </c>
      <c r="K421" s="211">
        <f t="shared" ca="1" si="113"/>
        <v>100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IFERROR(__xludf.DUMMYFUNCTION("IMPORTRANGE(""https://docs.google.com/spreadsheets/d/11923uPwbBZFjjGgGUA6NLw09EwE0CqkOc4q9oUmW1yo/edit?usp=sharing"",""พิษณุโลก!I317"")"),120)</f>
        <v>120</v>
      </c>
      <c r="J422" s="401">
        <f ca="1">IFERROR(__xludf.DUMMYFUNCTION("IMPORTRANGE(""https://docs.google.com/spreadsheets/d/11923uPwbBZFjjGgGUA6NLw09EwE0CqkOc4q9oUmW1yo/edit?usp=sharing"",""พิษณุโลก!J317"")"),120)</f>
        <v>120</v>
      </c>
      <c r="K422" s="211">
        <f t="shared" ca="1" si="113"/>
        <v>100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IFERROR(__xludf.DUMMYFUNCTION("IMPORTRANGE(""https://docs.google.com/spreadsheets/d/11923uPwbBZFjjGgGUA6NLw09EwE0CqkOc4q9oUmW1yo/edit?usp=sharing"",""พิษณุโลก!I318"")"),40)</f>
        <v>40</v>
      </c>
      <c r="J423" s="402">
        <f ca="1">IFERROR(__xludf.DUMMYFUNCTION("IMPORTRANGE(""https://docs.google.com/spreadsheets/d/11923uPwbBZFjjGgGUA6NLw09EwE0CqkOc4q9oUmW1yo/edit?usp=sharing"",""พิษณุโลก!J318"")"),40)</f>
        <v>40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IFERROR(__xludf.DUMMYFUNCTION("IMPORTRANGE(""https://docs.google.com/spreadsheets/d/11923uPwbBZFjjGgGUA6NLw09EwE0CqkOc4q9oUmW1yo/edit?usp=sharing"",""พิษณุโลก!I319"")"),40)</f>
        <v>40</v>
      </c>
      <c r="J424" s="402">
        <f ca="1">IFERROR(__xludf.DUMMYFUNCTION("IMPORTRANGE(""https://docs.google.com/spreadsheets/d/11923uPwbBZFjjGgGUA6NLw09EwE0CqkOc4q9oUmW1yo/edit?usp=sharing"",""พิษณุโลก!J319"")"),40)</f>
        <v>40</v>
      </c>
      <c r="K424" s="171">
        <f t="shared" ca="1" si="113"/>
        <v>100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IFERROR(__xludf.DUMMYFUNCTION("IMPORTRANGE(""https://docs.google.com/spreadsheets/d/11923uPwbBZFjjGgGUA6NLw09EwE0CqkOc4q9oUmW1yo/edit?usp=sharing"",""พิษณุโลก!I320"")"),40)</f>
        <v>40</v>
      </c>
      <c r="J425" s="402">
        <f ca="1">IFERROR(__xludf.DUMMYFUNCTION("IMPORTRANGE(""https://docs.google.com/spreadsheets/d/11923uPwbBZFjjGgGUA6NLw09EwE0CqkOc4q9oUmW1yo/edit?usp=sharing"",""พิษณุโลก!J320"")"),40)</f>
        <v>40</v>
      </c>
      <c r="K425" s="171">
        <f t="shared" ca="1" si="113"/>
        <v>100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IFERROR(__xludf.DUMMYFUNCTION("IMPORTRANGE(""https://docs.google.com/spreadsheets/d/11923uPwbBZFjjGgGUA6NLw09EwE0CqkOc4q9oUmW1yo/edit?usp=sharing"",""พิษณุโลก!I321"")"),10)</f>
        <v>10</v>
      </c>
      <c r="J426" s="400">
        <f ca="1">IFERROR(__xludf.DUMMYFUNCTION("IMPORTRANGE(""https://docs.google.com/spreadsheets/d/11923uPwbBZFjjGgGUA6NLw09EwE0CqkOc4q9oUmW1yo/edit?usp=sharing"",""พิษณุโลก!J321"")"),0)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IFERROR(__xludf.DUMMYFUNCTION("IMPORTRANGE(""https://docs.google.com/spreadsheets/d/11923uPwbBZFjjGgGUA6NLw09EwE0CqkOc4q9oUmW1yo/edit?usp=sharing"",""พิษณุโลก!I322"")"),30)</f>
        <v>30</v>
      </c>
      <c r="J427" s="401">
        <f ca="1">IFERROR(__xludf.DUMMYFUNCTION("IMPORTRANGE(""https://docs.google.com/spreadsheets/d/11923uPwbBZFjjGgGUA6NLw09EwE0CqkOc4q9oUmW1yo/edit?usp=sharing"",""พิษณุโลก!J322"")"),0)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IFERROR(__xludf.DUMMYFUNCTION("IMPORTRANGE(""https://docs.google.com/spreadsheets/d/11923uPwbBZFjjGgGUA6NLw09EwE0CqkOc4q9oUmW1yo/edit?usp=sharing"",""พิษณุโลก!I323"")"),10)</f>
        <v>10</v>
      </c>
      <c r="J428" s="402">
        <f ca="1">IFERROR(__xludf.DUMMYFUNCTION("IMPORTRANGE(""https://docs.google.com/spreadsheets/d/11923uPwbBZFjjGgGUA6NLw09EwE0CqkOc4q9oUmW1yo/edit?usp=sharing"",""พิษณุโลก!J323"")"),0)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IFERROR(__xludf.DUMMYFUNCTION("IMPORTRANGE(""https://docs.google.com/spreadsheets/d/11923uPwbBZFjjGgGUA6NLw09EwE0CqkOc4q9oUmW1yo/edit?usp=sharing"",""พิษณุโลก!I324"")"),10)</f>
        <v>10</v>
      </c>
      <c r="J429" s="402">
        <f ca="1">IFERROR(__xludf.DUMMYFUNCTION("IMPORTRANGE(""https://docs.google.com/spreadsheets/d/11923uPwbBZFjjGgGUA6NLw09EwE0CqkOc4q9oUmW1yo/edit?usp=sharing"",""พิษณุโลก!J324"")"),0)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IFERROR(__xludf.DUMMYFUNCTION("IMPORTRANGE(""https://docs.google.com/spreadsheets/d/11923uPwbBZFjjGgGUA6NLw09EwE0CqkOc4q9oUmW1yo/edit?usp=sharing"",""พิษณุโลก!I325"")"),65)</f>
        <v>65</v>
      </c>
      <c r="J430" s="400">
        <f ca="1">IFERROR(__xludf.DUMMYFUNCTION("IMPORTRANGE(""https://docs.google.com/spreadsheets/d/11923uPwbBZFjjGgGUA6NLw09EwE0CqkOc4q9oUmW1yo/edit?usp=sharing"",""พิษณุโลก!J325"")"),0)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IFERROR(__xludf.DUMMYFUNCTION("IMPORTRANGE(""https://docs.google.com/spreadsheets/d/11923uPwbBZFjjGgGUA6NLw09EwE0CqkOc4q9oUmW1yo/edit?usp=sharing"",""พิษณุโลก!I326"")"),25)</f>
        <v>25</v>
      </c>
      <c r="J431" s="402">
        <f ca="1">IFERROR(__xludf.DUMMYFUNCTION("IMPORTRANGE(""https://docs.google.com/spreadsheets/d/11923uPwbBZFjjGgGUA6NLw09EwE0CqkOc4q9oUmW1yo/edit?usp=sharing"",""พิษณุโลก!J326"")"),0)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IFERROR(__xludf.DUMMYFUNCTION("IMPORTRANGE(""https://docs.google.com/spreadsheets/d/11923uPwbBZFjjGgGUA6NLw09EwE0CqkOc4q9oUmW1yo/edit?usp=sharing"",""พิษณุโลก!I327"")"),40)</f>
        <v>40</v>
      </c>
      <c r="J432" s="402">
        <f ca="1">IFERROR(__xludf.DUMMYFUNCTION("IMPORTRANGE(""https://docs.google.com/spreadsheets/d/11923uPwbBZFjjGgGUA6NLw09EwE0CqkOc4q9oUmW1yo/edit?usp=sharing"",""พิษณุโลก!J327"")"),0)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IFERROR(__xludf.DUMMYFUNCTION("IMPORTRANGE(""https://docs.google.com/spreadsheets/d/11923uPwbBZFjjGgGUA6NLw09EwE0CqkOc4q9oUmW1yo/edit?usp=sharing"",""พิษณุโลก!J328"")"),0)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IFERROR(__xludf.DUMMYFUNCTION("IMPORTRANGE(""https://docs.google.com/spreadsheets/d/11923uPwbBZFjjGgGUA6NLw09EwE0CqkOc4q9oUmW1yo/edit?usp=sharing"",""พิษณุโลก!J329"")"),0)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IFERROR(__xludf.DUMMYFUNCTION("IMPORTRANGE(""https://docs.google.com/spreadsheets/d/11923uPwbBZFjjGgGUA6NLw09EwE0CqkOc4q9oUmW1yo/edit?usp=sharing"",""พิษณุโลก!I330"")"),20)</f>
        <v>20</v>
      </c>
      <c r="J435" s="418">
        <f ca="1">IFERROR(__xludf.DUMMYFUNCTION("IMPORTRANGE(""https://docs.google.com/spreadsheets/d/11923uPwbBZFjjGgGUA6NLw09EwE0CqkOc4q9oUmW1yo/edit?usp=sharing"",""พิษณุโลก!J330"")"),20)</f>
        <v>20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IFERROR(__xludf.DUMMYFUNCTION("IMPORTRANGE(""https://docs.google.com/spreadsheets/d/11923uPwbBZFjjGgGUA6NLw09EwE0CqkOc4q9oUmW1yo/edit?usp=sharing"",""พิษณุโลก!L330"")"),95000)</f>
        <v>95000</v>
      </c>
      <c r="M435" s="420"/>
      <c r="N435" s="420">
        <f ca="1">IFERROR(__xludf.DUMMYFUNCTION("IMPORTRANGE(""https://docs.google.com/spreadsheets/d/11923uPwbBZFjjGgGUA6NLw09EwE0CqkOc4q9oUmW1yo/edit?usp=sharing"",""พิษณุโลก!M330"")"),6860)</f>
        <v>6860</v>
      </c>
      <c r="O435" s="420">
        <f t="shared" ref="O435:O439" ca="1" si="114">+IF(L435&gt;0,N435*100/L435,0)</f>
        <v>7.2210526315789476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IFERROR(__xludf.DUMMYFUNCTION("IMPORTRANGE(""https://docs.google.com/spreadsheets/d/11923uPwbBZFjjGgGUA6NLw09EwE0CqkOc4q9oUmW1yo/edit?usp=sharing"",""พิษณุโลก!L331"")"),0)</f>
        <v>0</v>
      </c>
      <c r="M436" s="172"/>
      <c r="N436" s="178">
        <f ca="1">IFERROR(__xludf.DUMMYFUNCTION("IMPORTRANGE(""https://docs.google.com/spreadsheets/d/11923uPwbBZFjjGgGUA6NLw09EwE0CqkOc4q9oUmW1yo/edit?usp=sharing"",""พิษณุโลก!M331"")"),0)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IFERROR(__xludf.DUMMYFUNCTION("IMPORTRANGE(""https://docs.google.com/spreadsheets/d/11923uPwbBZFjjGgGUA6NLw09EwE0CqkOc4q9oUmW1yo/edit?usp=sharing"",""พิษณุโลก!L332"")"),95000)</f>
        <v>95000</v>
      </c>
      <c r="M437" s="173"/>
      <c r="N437" s="178">
        <f ca="1">IFERROR(__xludf.DUMMYFUNCTION("IMPORTRANGE(""https://docs.google.com/spreadsheets/d/11923uPwbBZFjjGgGUA6NLw09EwE0CqkOc4q9oUmW1yo/edit?usp=sharing"",""พิษณุโลก!M332"")"),6860)</f>
        <v>6860</v>
      </c>
      <c r="O437" s="178">
        <f t="shared" ca="1" si="114"/>
        <v>7.2210526315789476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IFERROR(__xludf.DUMMYFUNCTION("IMPORTRANGE(""https://docs.google.com/spreadsheets/d/11923uPwbBZFjjGgGUA6NLw09EwE0CqkOc4q9oUmW1yo/edit?usp=sharing"",""พิษณุโลก!L333"")"),0)</f>
        <v>0</v>
      </c>
      <c r="M438" s="178"/>
      <c r="N438" s="178">
        <f ca="1">IFERROR(__xludf.DUMMYFUNCTION("IMPORTRANGE(""https://docs.google.com/spreadsheets/d/11923uPwbBZFjjGgGUA6NLw09EwE0CqkOc4q9oUmW1yo/edit?usp=sharing"",""พิษณุโลก!M333"")"),0)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IFERROR(__xludf.DUMMYFUNCTION("IMPORTRANGE(""https://docs.google.com/spreadsheets/d/11923uPwbBZFjjGgGUA6NLw09EwE0CqkOc4q9oUmW1yo/edit?usp=sharing"",""พิษณุโลก!L334"")"),95000)</f>
        <v>95000</v>
      </c>
      <c r="M439" s="178"/>
      <c r="N439" s="178">
        <f ca="1">IFERROR(__xludf.DUMMYFUNCTION("IMPORTRANGE(""https://docs.google.com/spreadsheets/d/11923uPwbBZFjjGgGUA6NLw09EwE0CqkOc4q9oUmW1yo/edit?usp=sharing"",""พิษณุโลก!M334"")"),6860)</f>
        <v>6860</v>
      </c>
      <c r="O439" s="178">
        <f t="shared" ca="1" si="114"/>
        <v>7.2210526315789476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IFERROR(__xludf.DUMMYFUNCTION("IMPORTRANGE(""https://docs.google.com/spreadsheets/d/11923uPwbBZFjjGgGUA6NLw09EwE0CqkOc4q9oUmW1yo/edit?usp=sharing"",""พิษณุโลก!M335"")"),6860)</f>
        <v>6860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IFERROR(__xludf.DUMMYFUNCTION("IMPORTRANGE(""https://docs.google.com/spreadsheets/d/11923uPwbBZFjjGgGUA6NLw09EwE0CqkOc4q9oUmW1yo/edit?usp=sharing"",""พิษณุโลก!M336"")"),0)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IFERROR(__xludf.DUMMYFUNCTION("IMPORTRANGE(""https://docs.google.com/spreadsheets/d/11923uPwbBZFjjGgGUA6NLw09EwE0CqkOc4q9oUmW1yo/edit?usp=sharing"",""พิษณุโลก!M337"")"),0)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IFERROR(__xludf.DUMMYFUNCTION("IMPORTRANGE(""https://docs.google.com/spreadsheets/d/11923uPwbBZFjjGgGUA6NLw09EwE0CqkOc4q9oUmW1yo/edit?usp=sharing"",""พิษณุโลก!M338"")"),0)</f>
        <v>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IFERROR(__xludf.DUMMYFUNCTION("IMPORTRANGE(""https://docs.google.com/spreadsheets/d/11923uPwbBZFjjGgGUA6NLw09EwE0CqkOc4q9oUmW1yo/edit?usp=sharing"",""พิษณุโลก!J340"")"),0)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IFERROR(__xludf.DUMMYFUNCTION("IMPORTRANGE(""https://docs.google.com/spreadsheets/d/11923uPwbBZFjjGgGUA6NLw09EwE0CqkOc4q9oUmW1yo/edit?usp=sharing"",""พิษณุโลก!J341"")"),1)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IFERROR(__xludf.DUMMYFUNCTION("IMPORTRANGE(""https://docs.google.com/spreadsheets/d/11923uPwbBZFjjGgGUA6NLw09EwE0CqkOc4q9oUmW1yo/edit?usp=sharing"",""พิษณุโลก!J342"")"),1)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IFERROR(__xludf.DUMMYFUNCTION("IMPORTRANGE(""https://docs.google.com/spreadsheets/d/11923uPwbBZFjjGgGUA6NLw09EwE0CqkOc4q9oUmW1yo/edit?usp=sharing"",""พิษณุโลก!J343"")"),1)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IFERROR(__xludf.DUMMYFUNCTION("IMPORTRANGE(""https://docs.google.com/spreadsheets/d/11923uPwbBZFjjGgGUA6NLw09EwE0CqkOc4q9oUmW1yo/edit?usp=sharing"",""พิษณุโลก!I344"")"),20)</f>
        <v>20</v>
      </c>
      <c r="J449" s="210">
        <f ca="1">IFERROR(__xludf.DUMMYFUNCTION("IMPORTRANGE(""https://docs.google.com/spreadsheets/d/11923uPwbBZFjjGgGUA6NLw09EwE0CqkOc4q9oUmW1yo/edit?usp=sharing"",""พิษณุโลก!J344"")"),20)</f>
        <v>20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IFERROR(__xludf.DUMMYFUNCTION("IMPORTRANGE(""https://docs.google.com/spreadsheets/d/11923uPwbBZFjjGgGUA6NLw09EwE0CqkOc4q9oUmW1yo/edit?usp=sharing"",""พิษณุโลก!I345"")"),20)</f>
        <v>20</v>
      </c>
      <c r="J450" s="198">
        <f ca="1">IFERROR(__xludf.DUMMYFUNCTION("IMPORTRANGE(""https://docs.google.com/spreadsheets/d/11923uPwbBZFjjGgGUA6NLw09EwE0CqkOc4q9oUmW1yo/edit?usp=sharing"",""พิษณุโลก!J345"")"),20)</f>
        <v>20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IFERROR(__xludf.DUMMYFUNCTION("IMPORTRANGE(""https://docs.google.com/spreadsheets/d/11923uPwbBZFjjGgGUA6NLw09EwE0CqkOc4q9oUmW1yo/edit?usp=sharing"",""พิษณุโลก!I346"")"),0)</f>
        <v>0</v>
      </c>
      <c r="J451" s="197">
        <f ca="1">IFERROR(__xludf.DUMMYFUNCTION("IMPORTRANGE(""https://docs.google.com/spreadsheets/d/11923uPwbBZFjjGgGUA6NLw09EwE0CqkOc4q9oUmW1yo/edit?usp=sharing"",""พิษณุโลก!J346"")"),0)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IFERROR(__xludf.DUMMYFUNCTION("IMPORTRANGE(""https://docs.google.com/spreadsheets/d/11923uPwbBZFjjGgGUA6NLw09EwE0CqkOc4q9oUmW1yo/edit?usp=sharing"",""พิษณุโลก!I347"")"),0)</f>
        <v>0</v>
      </c>
      <c r="J452" s="197">
        <f ca="1">IFERROR(__xludf.DUMMYFUNCTION("IMPORTRANGE(""https://docs.google.com/spreadsheets/d/11923uPwbBZFjjGgGUA6NLw09EwE0CqkOc4q9oUmW1yo/edit?usp=sharing"",""พิษณุโลก!J347"")"),0)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IFERROR(__xludf.DUMMYFUNCTION("IMPORTRANGE(""https://docs.google.com/spreadsheets/d/11923uPwbBZFjjGgGUA6NLw09EwE0CqkOc4q9oUmW1yo/edit?usp=sharing"",""พิษณุโลก!J348"")"),0)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IFERROR(__xludf.DUMMYFUNCTION("IMPORTRANGE(""https://docs.google.com/spreadsheets/d/11923uPwbBZFjjGgGUA6NLw09EwE0CqkOc4q9oUmW1yo/edit?usp=sharing"",""พิษณุโลก!J349"")"),0)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IFERROR(__xludf.DUMMYFUNCTION("IMPORTRANGE(""https://docs.google.com/spreadsheets/d/11923uPwbBZFjjGgGUA6NLw09EwE0CqkOc4q9oUmW1yo/edit?usp=sharing"",""พิษณุโลก!I350"")"),60571)</f>
        <v>60571</v>
      </c>
      <c r="J455" s="379">
        <f ca="1">IFERROR(__xludf.DUMMYFUNCTION("IMPORTRANGE(""https://docs.google.com/spreadsheets/d/11923uPwbBZFjjGgGUA6NLw09EwE0CqkOc4q9oUmW1yo/edit?usp=sharing"",""พิษณุโลก!J350"")"),0)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IFERROR(__xludf.DUMMYFUNCTION("IMPORTRANGE(""https://docs.google.com/spreadsheets/d/11923uPwbBZFjjGgGUA6NLw09EwE0CqkOc4q9oUmW1yo/edit?usp=sharing"",""พิษณุโลก!L350"")"),513545)</f>
        <v>513545</v>
      </c>
      <c r="M455" s="381"/>
      <c r="N455" s="381">
        <f ca="1">IFERROR(__xludf.DUMMYFUNCTION("IMPORTRANGE(""https://docs.google.com/spreadsheets/d/11923uPwbBZFjjGgGUA6NLw09EwE0CqkOc4q9oUmW1yo/edit?usp=sharing"",""พิษณุโลก!M350"")"),86028.09)</f>
        <v>86028.09</v>
      </c>
      <c r="O455" s="381">
        <f t="shared" ref="O455:O459" ca="1" si="116">+IF(L455&gt;0,N455*100/L455,0)</f>
        <v>16.751811428404523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IFERROR(__xludf.DUMMYFUNCTION("IMPORTRANGE(""https://docs.google.com/spreadsheets/d/11923uPwbBZFjjGgGUA6NLw09EwE0CqkOc4q9oUmW1yo/edit?usp=sharing"",""พิษณุโลก!L351"")"),0)</f>
        <v>0</v>
      </c>
      <c r="M456" s="172"/>
      <c r="N456" s="178">
        <f ca="1">IFERROR(__xludf.DUMMYFUNCTION("IMPORTRANGE(""https://docs.google.com/spreadsheets/d/11923uPwbBZFjjGgGUA6NLw09EwE0CqkOc4q9oUmW1yo/edit?usp=sharing"",""พิษณุโลก!M351"")"),0)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IFERROR(__xludf.DUMMYFUNCTION("IMPORTRANGE(""https://docs.google.com/spreadsheets/d/11923uPwbBZFjjGgGUA6NLw09EwE0CqkOc4q9oUmW1yo/edit?usp=sharing"",""พิษณุโลก!L352"")"),513545)</f>
        <v>513545</v>
      </c>
      <c r="M457" s="173"/>
      <c r="N457" s="178">
        <f ca="1">IFERROR(__xludf.DUMMYFUNCTION("IMPORTRANGE(""https://docs.google.com/spreadsheets/d/11923uPwbBZFjjGgGUA6NLw09EwE0CqkOc4q9oUmW1yo/edit?usp=sharing"",""พิษณุโลก!M352"")"),86028.09)</f>
        <v>86028.09</v>
      </c>
      <c r="O457" s="178">
        <f t="shared" ca="1" si="116"/>
        <v>16.751811428404523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IFERROR(__xludf.DUMMYFUNCTION("IMPORTRANGE(""https://docs.google.com/spreadsheets/d/11923uPwbBZFjjGgGUA6NLw09EwE0CqkOc4q9oUmW1yo/edit?usp=sharing"",""พิษณุโลก!L353"")"),0)</f>
        <v>0</v>
      </c>
      <c r="M458" s="178"/>
      <c r="N458" s="178">
        <f ca="1">IFERROR(__xludf.DUMMYFUNCTION("IMPORTRANGE(""https://docs.google.com/spreadsheets/d/11923uPwbBZFjjGgGUA6NLw09EwE0CqkOc4q9oUmW1yo/edit?usp=sharing"",""พิษณุโลก!M353"")"),0)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IFERROR(__xludf.DUMMYFUNCTION("IMPORTRANGE(""https://docs.google.com/spreadsheets/d/11923uPwbBZFjjGgGUA6NLw09EwE0CqkOc4q9oUmW1yo/edit?usp=sharing"",""พิษณุโลก!L354"")"),513545)</f>
        <v>513545</v>
      </c>
      <c r="M459" s="178"/>
      <c r="N459" s="178">
        <f ca="1">IFERROR(__xludf.DUMMYFUNCTION("IMPORTRANGE(""https://docs.google.com/spreadsheets/d/11923uPwbBZFjjGgGUA6NLw09EwE0CqkOc4q9oUmW1yo/edit?usp=sharing"",""พิษณุโลก!M354"")"),86028.09)</f>
        <v>86028.09</v>
      </c>
      <c r="O459" s="178">
        <f t="shared" ca="1" si="116"/>
        <v>16.751811428404523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IFERROR(__xludf.DUMMYFUNCTION("IMPORTRANGE(""https://docs.google.com/spreadsheets/d/11923uPwbBZFjjGgGUA6NLw09EwE0CqkOc4q9oUmW1yo/edit?usp=sharing"",""พิษณุโลก!M355"")"),0)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IFERROR(__xludf.DUMMYFUNCTION("IMPORTRANGE(""https://docs.google.com/spreadsheets/d/11923uPwbBZFjjGgGUA6NLw09EwE0CqkOc4q9oUmW1yo/edit?usp=sharing"",""พิษณุโลก!M356"")"),0)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IFERROR(__xludf.DUMMYFUNCTION("IMPORTRANGE(""https://docs.google.com/spreadsheets/d/11923uPwbBZFjjGgGUA6NLw09EwE0CqkOc4q9oUmW1yo/edit?usp=sharing"",""พิษณุโลก!M357"")"),31900.09)</f>
        <v>31900.09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IFERROR(__xludf.DUMMYFUNCTION("IMPORTRANGE(""https://docs.google.com/spreadsheets/d/11923uPwbBZFjjGgGUA6NLw09EwE0CqkOc4q9oUmW1yo/edit?usp=sharing"",""พิษณุโลก!M358"")"),54128)</f>
        <v>54128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IFERROR(__xludf.DUMMYFUNCTION("IMPORTRANGE(""https://docs.google.com/spreadsheets/d/11923uPwbBZFjjGgGUA6NLw09EwE0CqkOc4q9oUmW1yo/edit?usp=sharing"",""พิษณุโลก!I359"")"),60571)</f>
        <v>60571</v>
      </c>
      <c r="J464" s="276">
        <f ca="1">IFERROR(__xludf.DUMMYFUNCTION("IMPORTRANGE(""https://docs.google.com/spreadsheets/d/11923uPwbBZFjjGgGUA6NLw09EwE0CqkOc4q9oUmW1yo/edit?usp=sharing"",""พิษณุโลก!J359"")"),0)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IFERROR(__xludf.DUMMYFUNCTION("IMPORTRANGE(""https://docs.google.com/spreadsheets/d/11923uPwbBZFjjGgGUA6NLw09EwE0CqkOc4q9oUmW1yo/edit?usp=sharing"",""พิษณุโลก!I360"")"),60571)</f>
        <v>60571</v>
      </c>
      <c r="J465" s="428">
        <f ca="1">IFERROR(__xludf.DUMMYFUNCTION("IMPORTRANGE(""https://docs.google.com/spreadsheets/d/11923uPwbBZFjjGgGUA6NLw09EwE0CqkOc4q9oUmW1yo/edit?usp=sharing"",""พิษณุโลก!J360"")"),0)</f>
        <v>0</v>
      </c>
      <c r="K465" s="211">
        <f t="shared" ca="1" si="117"/>
        <v>0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IFERROR(__xludf.DUMMYFUNCTION("IMPORTRANGE(""https://docs.google.com/spreadsheets/d/11923uPwbBZFjjGgGUA6NLw09EwE0CqkOc4q9oUmW1yo/edit?usp=sharing"",""พิษณุโลก!I361"")"),5640)</f>
        <v>5640</v>
      </c>
      <c r="J466" s="428">
        <f ca="1">IFERROR(__xludf.DUMMYFUNCTION("IMPORTRANGE(""https://docs.google.com/spreadsheets/d/11923uPwbBZFjjGgGUA6NLw09EwE0CqkOc4q9oUmW1yo/edit?usp=sharing"",""พิษณุโลก!J361"")"),0)</f>
        <v>0</v>
      </c>
      <c r="K466" s="211">
        <f t="shared" ca="1" si="117"/>
        <v>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IFERROR(__xludf.DUMMYFUNCTION("IMPORTRANGE(""https://docs.google.com/spreadsheets/d/11923uPwbBZFjjGgGUA6NLw09EwE0CqkOc4q9oUmW1yo/edit?usp=sharing"",""พิษณุโลก!I362"")"),0)</f>
        <v>0</v>
      </c>
      <c r="J467" s="198">
        <f ca="1">IFERROR(__xludf.DUMMYFUNCTION("IMPORTRANGE(""https://docs.google.com/spreadsheets/d/11923uPwbBZFjjGgGUA6NLw09EwE0CqkOc4q9oUmW1yo/edit?usp=sharing"",""พิษณุโลก!J362"")"),0)</f>
        <v>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IFERROR(__xludf.DUMMYFUNCTION("IMPORTRANGE(""https://docs.google.com/spreadsheets/d/11923uPwbBZFjjGgGUA6NLw09EwE0CqkOc4q9oUmW1yo/edit?usp=sharing"",""พิษณุโลก!I363"")"),0)</f>
        <v>0</v>
      </c>
      <c r="J468" s="198">
        <f ca="1">IFERROR(__xludf.DUMMYFUNCTION("IMPORTRANGE(""https://docs.google.com/spreadsheets/d/11923uPwbBZFjjGgGUA6NLw09EwE0CqkOc4q9oUmW1yo/edit?usp=sharing"",""พิษณุโลก!J363"")"),0)</f>
        <v>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IFERROR(__xludf.DUMMYFUNCTION("IMPORTRANGE(""https://docs.google.com/spreadsheets/d/11923uPwbBZFjjGgGUA6NLw09EwE0CqkOc4q9oUmW1yo/edit?usp=sharing"",""พิษณุโลก!I364"")"),0)</f>
        <v>0</v>
      </c>
      <c r="J469" s="198">
        <f ca="1">IFERROR(__xludf.DUMMYFUNCTION("IMPORTRANGE(""https://docs.google.com/spreadsheets/d/11923uPwbBZFjjGgGUA6NLw09EwE0CqkOc4q9oUmW1yo/edit?usp=sharing"",""พิษณุโลก!J364"")"),0)</f>
        <v>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IFERROR(__xludf.DUMMYFUNCTION("IMPORTRANGE(""https://docs.google.com/spreadsheets/d/11923uPwbBZFjjGgGUA6NLw09EwE0CqkOc4q9oUmW1yo/edit?usp=sharing"",""พิษณุโลก!I365"")"),0)</f>
        <v>0</v>
      </c>
      <c r="J470" s="198">
        <f ca="1">IFERROR(__xludf.DUMMYFUNCTION("IMPORTRANGE(""https://docs.google.com/spreadsheets/d/11923uPwbBZFjjGgGUA6NLw09EwE0CqkOc4q9oUmW1yo/edit?usp=sharing"",""พิษณุโลก!J365"")"),0)</f>
        <v>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IFERROR(__xludf.DUMMYFUNCTION("IMPORTRANGE(""https://docs.google.com/spreadsheets/d/11923uPwbBZFjjGgGUA6NLw09EwE0CqkOc4q9oUmW1yo/edit?usp=sharing"",""พิษณุโลก!I366"")"),0)</f>
        <v>0</v>
      </c>
      <c r="J471" s="198">
        <f ca="1">IFERROR(__xludf.DUMMYFUNCTION("IMPORTRANGE(""https://docs.google.com/spreadsheets/d/11923uPwbBZFjjGgGUA6NLw09EwE0CqkOc4q9oUmW1yo/edit?usp=sharing"",""พิษณุโลก!J366"")"),0)</f>
        <v>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IFERROR(__xludf.DUMMYFUNCTION("IMPORTRANGE(""https://docs.google.com/spreadsheets/d/11923uPwbBZFjjGgGUA6NLw09EwE0CqkOc4q9oUmW1yo/edit?usp=sharing"",""พิษณุโลก!I367"")"),0)</f>
        <v>0</v>
      </c>
      <c r="J472" s="198">
        <f ca="1">IFERROR(__xludf.DUMMYFUNCTION("IMPORTRANGE(""https://docs.google.com/spreadsheets/d/11923uPwbBZFjjGgGUA6NLw09EwE0CqkOc4q9oUmW1yo/edit?usp=sharing"",""พิษณุโลก!J367"")"),0)</f>
        <v>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IFERROR(__xludf.DUMMYFUNCTION("IMPORTRANGE(""https://docs.google.com/spreadsheets/d/11923uPwbBZFjjGgGUA6NLw09EwE0CqkOc4q9oUmW1yo/edit?usp=sharing"",""พิษณุโลก!I368"")"),60571)</f>
        <v>60571</v>
      </c>
      <c r="J473" s="428">
        <f ca="1">IFERROR(__xludf.DUMMYFUNCTION("IMPORTRANGE(""https://docs.google.com/spreadsheets/d/11923uPwbBZFjjGgGUA6NLw09EwE0CqkOc4q9oUmW1yo/edit?usp=sharing"",""พิษณุโลก!J368"")"),0)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IFERROR(__xludf.DUMMYFUNCTION("IMPORTRANGE(""https://docs.google.com/spreadsheets/d/11923uPwbBZFjjGgGUA6NLw09EwE0CqkOc4q9oUmW1yo/edit?usp=sharing"",""พิษณุโลก!I369"")"),5640)</f>
        <v>5640</v>
      </c>
      <c r="J474" s="428">
        <f ca="1">IFERROR(__xludf.DUMMYFUNCTION("IMPORTRANGE(""https://docs.google.com/spreadsheets/d/11923uPwbBZFjjGgGUA6NLw09EwE0CqkOc4q9oUmW1yo/edit?usp=sharing"",""พิษณุโลก!J369"")"),0)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IFERROR(__xludf.DUMMYFUNCTION("IMPORTRANGE(""https://docs.google.com/spreadsheets/d/11923uPwbBZFjjGgGUA6NLw09EwE0CqkOc4q9oUmW1yo/edit?usp=sharing"",""พิษณุโลก!I370"")"),0)</f>
        <v>0</v>
      </c>
      <c r="J475" s="198">
        <f ca="1">IFERROR(__xludf.DUMMYFUNCTION("IMPORTRANGE(""https://docs.google.com/spreadsheets/d/11923uPwbBZFjjGgGUA6NLw09EwE0CqkOc4q9oUmW1yo/edit?usp=sharing"",""พิษณุโลก!J370"")"),0)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IFERROR(__xludf.DUMMYFUNCTION("IMPORTRANGE(""https://docs.google.com/spreadsheets/d/11923uPwbBZFjjGgGUA6NLw09EwE0CqkOc4q9oUmW1yo/edit?usp=sharing"",""พิษณุโลก!I371"")"),0)</f>
        <v>0</v>
      </c>
      <c r="J476" s="198">
        <f ca="1">IFERROR(__xludf.DUMMYFUNCTION("IMPORTRANGE(""https://docs.google.com/spreadsheets/d/11923uPwbBZFjjGgGUA6NLw09EwE0CqkOc4q9oUmW1yo/edit?usp=sharing"",""พิษณุโลก!J371"")"),0)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IFERROR(__xludf.DUMMYFUNCTION("IMPORTRANGE(""https://docs.google.com/spreadsheets/d/11923uPwbBZFjjGgGUA6NLw09EwE0CqkOc4q9oUmW1yo/edit?usp=sharing"",""พิษณุโลก!I372"")"),0)</f>
        <v>0</v>
      </c>
      <c r="J477" s="198">
        <f ca="1">IFERROR(__xludf.DUMMYFUNCTION("IMPORTRANGE(""https://docs.google.com/spreadsheets/d/11923uPwbBZFjjGgGUA6NLw09EwE0CqkOc4q9oUmW1yo/edit?usp=sharing"",""พิษณุโลก!J372"")"),0)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IFERROR(__xludf.DUMMYFUNCTION("IMPORTRANGE(""https://docs.google.com/spreadsheets/d/11923uPwbBZFjjGgGUA6NLw09EwE0CqkOc4q9oUmW1yo/edit?usp=sharing"",""พิษณุโลก!I373"")"),0)</f>
        <v>0</v>
      </c>
      <c r="J478" s="198">
        <f ca="1">IFERROR(__xludf.DUMMYFUNCTION("IMPORTRANGE(""https://docs.google.com/spreadsheets/d/11923uPwbBZFjjGgGUA6NLw09EwE0CqkOc4q9oUmW1yo/edit?usp=sharing"",""พิษณุโลก!J373"")"),0)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IFERROR(__xludf.DUMMYFUNCTION("IMPORTRANGE(""https://docs.google.com/spreadsheets/d/11923uPwbBZFjjGgGUA6NLw09EwE0CqkOc4q9oUmW1yo/edit?usp=sharing"",""พิษณุโลก!I374"")"),0)</f>
        <v>0</v>
      </c>
      <c r="J479" s="198">
        <f ca="1">IFERROR(__xludf.DUMMYFUNCTION("IMPORTRANGE(""https://docs.google.com/spreadsheets/d/11923uPwbBZFjjGgGUA6NLw09EwE0CqkOc4q9oUmW1yo/edit?usp=sharing"",""พิษณุโลก!J374"")"),0)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IFERROR(__xludf.DUMMYFUNCTION("IMPORTRANGE(""https://docs.google.com/spreadsheets/d/11923uPwbBZFjjGgGUA6NLw09EwE0CqkOc4q9oUmW1yo/edit?usp=sharing"",""พิษณุโลก!I375"")"),0)</f>
        <v>0</v>
      </c>
      <c r="J480" s="198">
        <f ca="1">IFERROR(__xludf.DUMMYFUNCTION("IMPORTRANGE(""https://docs.google.com/spreadsheets/d/11923uPwbBZFjjGgGUA6NLw09EwE0CqkOc4q9oUmW1yo/edit?usp=sharing"",""พิษณุโลก!J375"")"),0)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IFERROR(__xludf.DUMMYFUNCTION("IMPORTRANGE(""https://docs.google.com/spreadsheets/d/11923uPwbBZFjjGgGUA6NLw09EwE0CqkOc4q9oUmW1yo/edit?usp=sharing"",""พิษณุโลก!I376"")"),60571)</f>
        <v>60571</v>
      </c>
      <c r="J481" s="428">
        <f ca="1">IFERROR(__xludf.DUMMYFUNCTION("IMPORTRANGE(""https://docs.google.com/spreadsheets/d/11923uPwbBZFjjGgGUA6NLw09EwE0CqkOc4q9oUmW1yo/edit?usp=sharing"",""พิษณุโลก!J376"")"),0)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IFERROR(__xludf.DUMMYFUNCTION("IMPORTRANGE(""https://docs.google.com/spreadsheets/d/11923uPwbBZFjjGgGUA6NLw09EwE0CqkOc4q9oUmW1yo/edit?usp=sharing"",""พิษณุโลก!I377"")"),5640)</f>
        <v>5640</v>
      </c>
      <c r="J482" s="428">
        <f ca="1">IFERROR(__xludf.DUMMYFUNCTION("IMPORTRANGE(""https://docs.google.com/spreadsheets/d/11923uPwbBZFjjGgGUA6NLw09EwE0CqkOc4q9oUmW1yo/edit?usp=sharing"",""พิษณุโลก!J377"")"),0)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IFERROR(__xludf.DUMMYFUNCTION("IMPORTRANGE(""https://docs.google.com/spreadsheets/d/11923uPwbBZFjjGgGUA6NLw09EwE0CqkOc4q9oUmW1yo/edit?usp=sharing"",""พิษณุโลก!I378"")"),0)</f>
        <v>0</v>
      </c>
      <c r="J483" s="198">
        <f ca="1">IFERROR(__xludf.DUMMYFUNCTION("IMPORTRANGE(""https://docs.google.com/spreadsheets/d/11923uPwbBZFjjGgGUA6NLw09EwE0CqkOc4q9oUmW1yo/edit?usp=sharing"",""พิษณุโลก!J378"")"),0)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IFERROR(__xludf.DUMMYFUNCTION("IMPORTRANGE(""https://docs.google.com/spreadsheets/d/11923uPwbBZFjjGgGUA6NLw09EwE0CqkOc4q9oUmW1yo/edit?usp=sharing"",""พิษณุโลก!I379"")"),0)</f>
        <v>0</v>
      </c>
      <c r="J484" s="198">
        <f ca="1">IFERROR(__xludf.DUMMYFUNCTION("IMPORTRANGE(""https://docs.google.com/spreadsheets/d/11923uPwbBZFjjGgGUA6NLw09EwE0CqkOc4q9oUmW1yo/edit?usp=sharing"",""พิษณุโลก!J379"")"),0)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IFERROR(__xludf.DUMMYFUNCTION("IMPORTRANGE(""https://docs.google.com/spreadsheets/d/11923uPwbBZFjjGgGUA6NLw09EwE0CqkOc4q9oUmW1yo/edit?usp=sharing"",""พิษณุโลก!I380"")"),0)</f>
        <v>0</v>
      </c>
      <c r="J485" s="198">
        <f ca="1">IFERROR(__xludf.DUMMYFUNCTION("IMPORTRANGE(""https://docs.google.com/spreadsheets/d/11923uPwbBZFjjGgGUA6NLw09EwE0CqkOc4q9oUmW1yo/edit?usp=sharing"",""พิษณุโลก!J380"")"),0)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IFERROR(__xludf.DUMMYFUNCTION("IMPORTRANGE(""https://docs.google.com/spreadsheets/d/11923uPwbBZFjjGgGUA6NLw09EwE0CqkOc4q9oUmW1yo/edit?usp=sharing"",""พิษณุโลก!I381"")"),0)</f>
        <v>0</v>
      </c>
      <c r="J486" s="198">
        <f ca="1">IFERROR(__xludf.DUMMYFUNCTION("IMPORTRANGE(""https://docs.google.com/spreadsheets/d/11923uPwbBZFjjGgGUA6NLw09EwE0CqkOc4q9oUmW1yo/edit?usp=sharing"",""พิษณุโลก!J381"")"),0)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IFERROR(__xludf.DUMMYFUNCTION("IMPORTRANGE(""https://docs.google.com/spreadsheets/d/11923uPwbBZFjjGgGUA6NLw09EwE0CqkOc4q9oUmW1yo/edit?usp=sharing"",""พิษณุโลก!I382"")"),0)</f>
        <v>0</v>
      </c>
      <c r="J487" s="428">
        <f ca="1">IFERROR(__xludf.DUMMYFUNCTION("IMPORTRANGE(""https://docs.google.com/spreadsheets/d/11923uPwbBZFjjGgGUA6NLw09EwE0CqkOc4q9oUmW1yo/edit?usp=sharing"",""พิษณุโลก!J382"")"),0)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IFERROR(__xludf.DUMMYFUNCTION("IMPORTRANGE(""https://docs.google.com/spreadsheets/d/11923uPwbBZFjjGgGUA6NLw09EwE0CqkOc4q9oUmW1yo/edit?usp=sharing"",""พิษณุโลก!I383"")"),0)</f>
        <v>0</v>
      </c>
      <c r="J488" s="428">
        <f ca="1">IFERROR(__xludf.DUMMYFUNCTION("IMPORTRANGE(""https://docs.google.com/spreadsheets/d/11923uPwbBZFjjGgGUA6NLw09EwE0CqkOc4q9oUmW1yo/edit?usp=sharing"",""พิษณุโลก!J383"")"),0)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IFERROR(__xludf.DUMMYFUNCTION("IMPORTRANGE(""https://docs.google.com/spreadsheets/d/11923uPwbBZFjjGgGUA6NLw09EwE0CqkOc4q9oUmW1yo/edit?usp=sharing"",""พิษณุโลก!I384"")"),0)</f>
        <v>0</v>
      </c>
      <c r="J489" s="198">
        <f ca="1">IFERROR(__xludf.DUMMYFUNCTION("IMPORTRANGE(""https://docs.google.com/spreadsheets/d/11923uPwbBZFjjGgGUA6NLw09EwE0CqkOc4q9oUmW1yo/edit?usp=sharing"",""พิษณุโลก!J384"")"),0)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IFERROR(__xludf.DUMMYFUNCTION("IMPORTRANGE(""https://docs.google.com/spreadsheets/d/11923uPwbBZFjjGgGUA6NLw09EwE0CqkOc4q9oUmW1yo/edit?usp=sharing"",""พิษณุโลก!I385"")"),0)</f>
        <v>0</v>
      </c>
      <c r="J490" s="198">
        <f ca="1">IFERROR(__xludf.DUMMYFUNCTION("IMPORTRANGE(""https://docs.google.com/spreadsheets/d/11923uPwbBZFjjGgGUA6NLw09EwE0CqkOc4q9oUmW1yo/edit?usp=sharing"",""พิษณุโลก!J385"")"),0)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IFERROR(__xludf.DUMMYFUNCTION("IMPORTRANGE(""https://docs.google.com/spreadsheets/d/11923uPwbBZFjjGgGUA6NLw09EwE0CqkOc4q9oUmW1yo/edit?usp=sharing"",""พิษณุโลก!I386"")"),0)</f>
        <v>0</v>
      </c>
      <c r="J491" s="198">
        <f ca="1">IFERROR(__xludf.DUMMYFUNCTION("IMPORTRANGE(""https://docs.google.com/spreadsheets/d/11923uPwbBZFjjGgGUA6NLw09EwE0CqkOc4q9oUmW1yo/edit?usp=sharing"",""พิษณุโลก!J386"")"),0)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IFERROR(__xludf.DUMMYFUNCTION("IMPORTRANGE(""https://docs.google.com/spreadsheets/d/11923uPwbBZFjjGgGUA6NLw09EwE0CqkOc4q9oUmW1yo/edit?usp=sharing"",""พิษณุโลก!I387"")"),0)</f>
        <v>0</v>
      </c>
      <c r="J492" s="198">
        <f ca="1">IFERROR(__xludf.DUMMYFUNCTION("IMPORTRANGE(""https://docs.google.com/spreadsheets/d/11923uPwbBZFjjGgGUA6NLw09EwE0CqkOc4q9oUmW1yo/edit?usp=sharing"",""พิษณุโลก!J387"")"),0)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IFERROR(__xludf.DUMMYFUNCTION("IMPORTRANGE(""https://docs.google.com/spreadsheets/d/11923uPwbBZFjjGgGUA6NLw09EwE0CqkOc4q9oUmW1yo/edit?usp=sharing"",""พิษณุโลก!I388"")"),0)</f>
        <v>0</v>
      </c>
      <c r="J493" s="198">
        <f ca="1">IFERROR(__xludf.DUMMYFUNCTION("IMPORTRANGE(""https://docs.google.com/spreadsheets/d/11923uPwbBZFjjGgGUA6NLw09EwE0CqkOc4q9oUmW1yo/edit?usp=sharing"",""พิษณุโลก!J388"")"),0)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IFERROR(__xludf.DUMMYFUNCTION("IMPORTRANGE(""https://docs.google.com/spreadsheets/d/11923uPwbBZFjjGgGUA6NLw09EwE0CqkOc4q9oUmW1yo/edit?usp=sharing"",""พิษณุโลก!I389"")"),0)</f>
        <v>0</v>
      </c>
      <c r="J494" s="444">
        <f ca="1">IFERROR(__xludf.DUMMYFUNCTION("IMPORTRANGE(""https://docs.google.com/spreadsheets/d/11923uPwbBZFjjGgGUA6NLw09EwE0CqkOc4q9oUmW1yo/edit?usp=sharing"",""พิษณุโลก!J389"")"),0)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IFERROR(__xludf.DUMMYFUNCTION("IMPORTRANGE(""https://docs.google.com/spreadsheets/d/11923uPwbBZFjjGgGUA6NLw09EwE0CqkOc4q9oUmW1yo/edit?usp=sharing"",""พิษณุโลก!I390"")"),0)</f>
        <v>0</v>
      </c>
      <c r="J495" s="444">
        <f ca="1">IFERROR(__xludf.DUMMYFUNCTION("IMPORTRANGE(""https://docs.google.com/spreadsheets/d/11923uPwbBZFjjGgGUA6NLw09EwE0CqkOc4q9oUmW1yo/edit?usp=sharing"",""พิษณุโลก!J390"")"),0)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IFERROR(__xludf.DUMMYFUNCTION("IMPORTRANGE(""https://docs.google.com/spreadsheets/d/11923uPwbBZFjjGgGUA6NLw09EwE0CqkOc4q9oUmW1yo/edit?usp=sharing"",""พิษณุโลก!I391"")"),0)</f>
        <v>0</v>
      </c>
      <c r="J496" s="444">
        <f ca="1">IFERROR(__xludf.DUMMYFUNCTION("IMPORTRANGE(""https://docs.google.com/spreadsheets/d/11923uPwbBZFjjGgGUA6NLw09EwE0CqkOc4q9oUmW1yo/edit?usp=sharing"",""พิษณุโลก!J391"")"),0)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IFERROR(__xludf.DUMMYFUNCTION("IMPORTRANGE(""https://docs.google.com/spreadsheets/d/11923uPwbBZFjjGgGUA6NLw09EwE0CqkOc4q9oUmW1yo/edit?usp=sharing"",""พิษณุโลก!I392"")"),1632)</f>
        <v>1632</v>
      </c>
      <c r="J497" s="451">
        <f ca="1">IFERROR(__xludf.DUMMYFUNCTION("IMPORTRANGE(""https://docs.google.com/spreadsheets/d/11923uPwbBZFjjGgGUA6NLw09EwE0CqkOc4q9oUmW1yo/edit?usp=sharing"",""พิษณุโลก!J392"")"),998)</f>
        <v>998</v>
      </c>
      <c r="K497" s="452">
        <f t="shared" ca="1" si="117"/>
        <v>61.151960784313722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IFERROR(__xludf.DUMMYFUNCTION("IMPORTRANGE(""https://docs.google.com/spreadsheets/d/11923uPwbBZFjjGgGUA6NLw09EwE0CqkOc4q9oUmW1yo/edit?usp=sharing"",""พิษณุโลก!I393"")"),1632)</f>
        <v>1632</v>
      </c>
      <c r="J498" s="428">
        <f ca="1">IFERROR(__xludf.DUMMYFUNCTION("IMPORTRANGE(""https://docs.google.com/spreadsheets/d/11923uPwbBZFjjGgGUA6NLw09EwE0CqkOc4q9oUmW1yo/edit?usp=sharing"",""พิษณุโลก!J393"")"),998)</f>
        <v>998</v>
      </c>
      <c r="K498" s="171">
        <f t="shared" ca="1" si="117"/>
        <v>61.151960784313722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IFERROR(__xludf.DUMMYFUNCTION("IMPORTRANGE(""https://docs.google.com/spreadsheets/d/11923uPwbBZFjjGgGUA6NLw09EwE0CqkOc4q9oUmW1yo/edit?usp=sharing"",""พิษณุโลก!I394"")"),99)</f>
        <v>99</v>
      </c>
      <c r="J499" s="428">
        <f ca="1">IFERROR(__xludf.DUMMYFUNCTION("IMPORTRANGE(""https://docs.google.com/spreadsheets/d/11923uPwbBZFjjGgGUA6NLw09EwE0CqkOc4q9oUmW1yo/edit?usp=sharing"",""พิษณุโลก!J394"")"),60)</f>
        <v>60</v>
      </c>
      <c r="K499" s="211">
        <f t="shared" ca="1" si="117"/>
        <v>60.606060606060609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IFERROR(__xludf.DUMMYFUNCTION("IMPORTRANGE(""https://docs.google.com/spreadsheets/d/11923uPwbBZFjjGgGUA6NLw09EwE0CqkOc4q9oUmW1yo/edit?usp=sharing"",""พิษณุโลก!I395"")"),0)</f>
        <v>0</v>
      </c>
      <c r="J500" s="170">
        <f ca="1">IFERROR(__xludf.DUMMYFUNCTION("IMPORTRANGE(""https://docs.google.com/spreadsheets/d/11923uPwbBZFjjGgGUA6NLw09EwE0CqkOc4q9oUmW1yo/edit?usp=sharing"",""พิษณุโลก!J395"")"),975)</f>
        <v>975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IFERROR(__xludf.DUMMYFUNCTION("IMPORTRANGE(""https://docs.google.com/spreadsheets/d/11923uPwbBZFjjGgGUA6NLw09EwE0CqkOc4q9oUmW1yo/edit?usp=sharing"",""พิษณุโลก!I396"")"),0)</f>
        <v>0</v>
      </c>
      <c r="J501" s="170">
        <f ca="1">IFERROR(__xludf.DUMMYFUNCTION("IMPORTRANGE(""https://docs.google.com/spreadsheets/d/11923uPwbBZFjjGgGUA6NLw09EwE0CqkOc4q9oUmW1yo/edit?usp=sharing"",""พิษณุโลก!J396"")"),59)</f>
        <v>59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IFERROR(__xludf.DUMMYFUNCTION("IMPORTRANGE(""https://docs.google.com/spreadsheets/d/11923uPwbBZFjjGgGUA6NLw09EwE0CqkOc4q9oUmW1yo/edit?usp=sharing"",""พิษณุโลก!I397"")"),0)</f>
        <v>0</v>
      </c>
      <c r="J502" s="198">
        <f ca="1">IFERROR(__xludf.DUMMYFUNCTION("IMPORTRANGE(""https://docs.google.com/spreadsheets/d/11923uPwbBZFjjGgGUA6NLw09EwE0CqkOc4q9oUmW1yo/edit?usp=sharing"",""พิษณุโลก!J397"")"),550)</f>
        <v>550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IFERROR(__xludf.DUMMYFUNCTION("IMPORTRANGE(""https://docs.google.com/spreadsheets/d/11923uPwbBZFjjGgGUA6NLw09EwE0CqkOc4q9oUmW1yo/edit?usp=sharing"",""พิษณุโลก!I398"")"),0)</f>
        <v>0</v>
      </c>
      <c r="J503" s="207">
        <f ca="1">IFERROR(__xludf.DUMMYFUNCTION("IMPORTRANGE(""https://docs.google.com/spreadsheets/d/11923uPwbBZFjjGgGUA6NLw09EwE0CqkOc4q9oUmW1yo/edit?usp=sharing"",""พิษณุโลก!J398"")"),31)</f>
        <v>31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IFERROR(__xludf.DUMMYFUNCTION("IMPORTRANGE(""https://docs.google.com/spreadsheets/d/11923uPwbBZFjjGgGUA6NLw09EwE0CqkOc4q9oUmW1yo/edit?usp=sharing"",""พิษณุโลก!I399"")"),0)</f>
        <v>0</v>
      </c>
      <c r="J504" s="198">
        <f ca="1">IFERROR(__xludf.DUMMYFUNCTION("IMPORTRANGE(""https://docs.google.com/spreadsheets/d/11923uPwbBZFjjGgGUA6NLw09EwE0CqkOc4q9oUmW1yo/edit?usp=sharing"",""พิษณุโลก!J399"")"),425)</f>
        <v>425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IFERROR(__xludf.DUMMYFUNCTION("IMPORTRANGE(""https://docs.google.com/spreadsheets/d/11923uPwbBZFjjGgGUA6NLw09EwE0CqkOc4q9oUmW1yo/edit?usp=sharing"",""พิษณุโลก!I400"")"),0)</f>
        <v>0</v>
      </c>
      <c r="J505" s="207">
        <f ca="1">IFERROR(__xludf.DUMMYFUNCTION("IMPORTRANGE(""https://docs.google.com/spreadsheets/d/11923uPwbBZFjjGgGUA6NLw09EwE0CqkOc4q9oUmW1yo/edit?usp=sharing"",""พิษณุโลก!J400"")"),28)</f>
        <v>28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IFERROR(__xludf.DUMMYFUNCTION("IMPORTRANGE(""https://docs.google.com/spreadsheets/d/11923uPwbBZFjjGgGUA6NLw09EwE0CqkOc4q9oUmW1yo/edit?usp=sharing"",""พิษณุโลก!I401"")"),0)</f>
        <v>0</v>
      </c>
      <c r="J506" s="198">
        <f ca="1">IFERROR(__xludf.DUMMYFUNCTION("IMPORTRANGE(""https://docs.google.com/spreadsheets/d/11923uPwbBZFjjGgGUA6NLw09EwE0CqkOc4q9oUmW1yo/edit?usp=sharing"",""พิษณุโลก!J401"")"),0)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IFERROR(__xludf.DUMMYFUNCTION("IMPORTRANGE(""https://docs.google.com/spreadsheets/d/11923uPwbBZFjjGgGUA6NLw09EwE0CqkOc4q9oUmW1yo/edit?usp=sharing"",""พิษณุโลก!I402"")"),0)</f>
        <v>0</v>
      </c>
      <c r="J507" s="207">
        <f ca="1">IFERROR(__xludf.DUMMYFUNCTION("IMPORTRANGE(""https://docs.google.com/spreadsheets/d/11923uPwbBZFjjGgGUA6NLw09EwE0CqkOc4q9oUmW1yo/edit?usp=sharing"",""พิษณุโลก!J402"")"),0)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IFERROR(__xludf.DUMMYFUNCTION("IMPORTRANGE(""https://docs.google.com/spreadsheets/d/11923uPwbBZFjjGgGUA6NLw09EwE0CqkOc4q9oUmW1yo/edit?usp=sharing"",""พิษณุโลก!I403"")"),0)</f>
        <v>0</v>
      </c>
      <c r="J508" s="170">
        <f ca="1">IFERROR(__xludf.DUMMYFUNCTION("IMPORTRANGE(""https://docs.google.com/spreadsheets/d/11923uPwbBZFjjGgGUA6NLw09EwE0CqkOc4q9oUmW1yo/edit?usp=sharing"",""พิษณุโลก!J403"")"),23)</f>
        <v>23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IFERROR(__xludf.DUMMYFUNCTION("IMPORTRANGE(""https://docs.google.com/spreadsheets/d/11923uPwbBZFjjGgGUA6NLw09EwE0CqkOc4q9oUmW1yo/edit?usp=sharing"",""พิษณุโลก!I404"")"),0)</f>
        <v>0</v>
      </c>
      <c r="J509" s="170">
        <f ca="1">IFERROR(__xludf.DUMMYFUNCTION("IMPORTRANGE(""https://docs.google.com/spreadsheets/d/11923uPwbBZFjjGgGUA6NLw09EwE0CqkOc4q9oUmW1yo/edit?usp=sharing"",""พิษณุโลก!J404"")"),1)</f>
        <v>1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IFERROR(__xludf.DUMMYFUNCTION("IMPORTRANGE(""https://docs.google.com/spreadsheets/d/11923uPwbBZFjjGgGUA6NLw09EwE0CqkOc4q9oUmW1yo/edit?usp=sharing"",""พิษณุโลก!I405"")"),0)</f>
        <v>0</v>
      </c>
      <c r="J510" s="207">
        <f ca="1">IFERROR(__xludf.DUMMYFUNCTION("IMPORTRANGE(""https://docs.google.com/spreadsheets/d/11923uPwbBZFjjGgGUA6NLw09EwE0CqkOc4q9oUmW1yo/edit?usp=sharing"",""พิษณุโลก!J405"")"),23)</f>
        <v>23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IFERROR(__xludf.DUMMYFUNCTION("IMPORTRANGE(""https://docs.google.com/spreadsheets/d/11923uPwbBZFjjGgGUA6NLw09EwE0CqkOc4q9oUmW1yo/edit?usp=sharing"",""พิษณุโลก!I406"")"),0)</f>
        <v>0</v>
      </c>
      <c r="J511" s="207">
        <f ca="1">IFERROR(__xludf.DUMMYFUNCTION("IMPORTRANGE(""https://docs.google.com/spreadsheets/d/11923uPwbBZFjjGgGUA6NLw09EwE0CqkOc4q9oUmW1yo/edit?usp=sharing"",""พิษณุโลก!J406"")"),1)</f>
        <v>1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IFERROR(__xludf.DUMMYFUNCTION("IMPORTRANGE(""https://docs.google.com/spreadsheets/d/11923uPwbBZFjjGgGUA6NLw09EwE0CqkOc4q9oUmW1yo/edit?usp=sharing"",""พิษณุโลก!I407"")"),0)</f>
        <v>0</v>
      </c>
      <c r="J512" s="207">
        <f ca="1">IFERROR(__xludf.DUMMYFUNCTION("IMPORTRANGE(""https://docs.google.com/spreadsheets/d/11923uPwbBZFjjGgGUA6NLw09EwE0CqkOc4q9oUmW1yo/edit?usp=sharing"",""พิษณุโลก!J407"")"),0)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IFERROR(__xludf.DUMMYFUNCTION("IMPORTRANGE(""https://docs.google.com/spreadsheets/d/11923uPwbBZFjjGgGUA6NLw09EwE0CqkOc4q9oUmW1yo/edit?usp=sharing"",""พิษณุโลก!I408"")"),0)</f>
        <v>0</v>
      </c>
      <c r="J513" s="207">
        <f ca="1">IFERROR(__xludf.DUMMYFUNCTION("IMPORTRANGE(""https://docs.google.com/spreadsheets/d/11923uPwbBZFjjGgGUA6NLw09EwE0CqkOc4q9oUmW1yo/edit?usp=sharing"",""พิษณุโลก!J408"")"),0)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IFERROR(__xludf.DUMMYFUNCTION("IMPORTRANGE(""https://docs.google.com/spreadsheets/d/11923uPwbBZFjjGgGUA6NLw09EwE0CqkOc4q9oUmW1yo/edit?usp=sharing"",""พิษณุโลก!I409"")"),0)</f>
        <v>0</v>
      </c>
      <c r="J514" s="207">
        <f ca="1">IFERROR(__xludf.DUMMYFUNCTION("IMPORTRANGE(""https://docs.google.com/spreadsheets/d/11923uPwbBZFjjGgGUA6NLw09EwE0CqkOc4q9oUmW1yo/edit?usp=sharing"",""พิษณุโลก!J409"")"),0)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IFERROR(__xludf.DUMMYFUNCTION("IMPORTRANGE(""https://docs.google.com/spreadsheets/d/11923uPwbBZFjjGgGUA6NLw09EwE0CqkOc4q9oUmW1yo/edit?usp=sharing"",""พิษณุโลก!I410"")"),0)</f>
        <v>0</v>
      </c>
      <c r="J515" s="207">
        <f ca="1">IFERROR(__xludf.DUMMYFUNCTION("IMPORTRANGE(""https://docs.google.com/spreadsheets/d/11923uPwbBZFjjGgGUA6NLw09EwE0CqkOc4q9oUmW1yo/edit?usp=sharing"",""พิษณุโลก!J410"")"),0)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IFERROR(__xludf.DUMMYFUNCTION("IMPORTRANGE(""https://docs.google.com/spreadsheets/d/11923uPwbBZFjjGgGUA6NLw09EwE0CqkOc4q9oUmW1yo/edit?usp=sharing"",""พิษณุโลก!I411"")"),0)</f>
        <v>0</v>
      </c>
      <c r="J516" s="276">
        <f ca="1">IFERROR(__xludf.DUMMYFUNCTION("IMPORTRANGE(""https://docs.google.com/spreadsheets/d/11923uPwbBZFjjGgGUA6NLw09EwE0CqkOc4q9oUmW1yo/edit?usp=sharing"",""พิษณุโลก!J411"")"),0)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IFERROR(__xludf.DUMMYFUNCTION("IMPORTRANGE(""https://docs.google.com/spreadsheets/d/11923uPwbBZFjjGgGUA6NLw09EwE0CqkOc4q9oUmW1yo/edit?usp=sharing"",""พิษณุโลก!I412"")"),0)</f>
        <v>0</v>
      </c>
      <c r="J517" s="292">
        <f ca="1">IFERROR(__xludf.DUMMYFUNCTION("IMPORTRANGE(""https://docs.google.com/spreadsheets/d/11923uPwbBZFjjGgGUA6NLw09EwE0CqkOc4q9oUmW1yo/edit?usp=sharing"",""พิษณุโลก!J412"")"),0)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IFERROR(__xludf.DUMMYFUNCTION("IMPORTRANGE(""https://docs.google.com/spreadsheets/d/11923uPwbBZFjjGgGUA6NLw09EwE0CqkOc4q9oUmW1yo/edit?usp=sharing"",""พิษณุโลก!I413"")"),0)</f>
        <v>0</v>
      </c>
      <c r="J518" s="292">
        <f ca="1">IFERROR(__xludf.DUMMYFUNCTION("IMPORTRANGE(""https://docs.google.com/spreadsheets/d/11923uPwbBZFjjGgGUA6NLw09EwE0CqkOc4q9oUmW1yo/edit?usp=sharing"",""พิษณุโลก!J413"")"),0)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IFERROR(__xludf.DUMMYFUNCTION("IMPORTRANGE(""https://docs.google.com/spreadsheets/d/11923uPwbBZFjjGgGUA6NLw09EwE0CqkOc4q9oUmW1yo/edit?usp=sharing"",""พิษณุโลก!I414"")"),0)</f>
        <v>0</v>
      </c>
      <c r="J519" s="197">
        <f ca="1">IFERROR(__xludf.DUMMYFUNCTION("IMPORTRANGE(""https://docs.google.com/spreadsheets/d/11923uPwbBZFjjGgGUA6NLw09EwE0CqkOc4q9oUmW1yo/edit?usp=sharing"",""พิษณุโลก!J414"")"),0)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IFERROR(__xludf.DUMMYFUNCTION("IMPORTRANGE(""https://docs.google.com/spreadsheets/d/11923uPwbBZFjjGgGUA6NLw09EwE0CqkOc4q9oUmW1yo/edit?usp=sharing"",""พิษณุโลก!I415"")"),0)</f>
        <v>0</v>
      </c>
      <c r="J520" s="197">
        <f ca="1">IFERROR(__xludf.DUMMYFUNCTION("IMPORTRANGE(""https://docs.google.com/spreadsheets/d/11923uPwbBZFjjGgGUA6NLw09EwE0CqkOc4q9oUmW1yo/edit?usp=sharing"",""พิษณุโลก!J415"")"),0)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IFERROR(__xludf.DUMMYFUNCTION("IMPORTRANGE(""https://docs.google.com/spreadsheets/d/11923uPwbBZFjjGgGUA6NLw09EwE0CqkOc4q9oUmW1yo/edit?usp=sharing"",""พิษณุโลก!I416"")"),0)</f>
        <v>0</v>
      </c>
      <c r="J521" s="197">
        <f ca="1">IFERROR(__xludf.DUMMYFUNCTION("IMPORTRANGE(""https://docs.google.com/spreadsheets/d/11923uPwbBZFjjGgGUA6NLw09EwE0CqkOc4q9oUmW1yo/edit?usp=sharing"",""พิษณุโลก!J416"")"),0)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IFERROR(__xludf.DUMMYFUNCTION("IMPORTRANGE(""https://docs.google.com/spreadsheets/d/11923uPwbBZFjjGgGUA6NLw09EwE0CqkOc4q9oUmW1yo/edit?usp=sharing"",""พิษณุโลก!I417"")"),0)</f>
        <v>0</v>
      </c>
      <c r="J522" s="197">
        <f ca="1">IFERROR(__xludf.DUMMYFUNCTION("IMPORTRANGE(""https://docs.google.com/spreadsheets/d/11923uPwbBZFjjGgGUA6NLw09EwE0CqkOc4q9oUmW1yo/edit?usp=sharing"",""พิษณุโลก!J417"")"),0)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IFERROR(__xludf.DUMMYFUNCTION("IMPORTRANGE(""https://docs.google.com/spreadsheets/d/11923uPwbBZFjjGgGUA6NLw09EwE0CqkOc4q9oUmW1yo/edit?usp=sharing"",""พิษณุโลก!I418"")"),0)</f>
        <v>0</v>
      </c>
      <c r="J523" s="197">
        <f ca="1">IFERROR(__xludf.DUMMYFUNCTION("IMPORTRANGE(""https://docs.google.com/spreadsheets/d/11923uPwbBZFjjGgGUA6NLw09EwE0CqkOc4q9oUmW1yo/edit?usp=sharing"",""พิษณุโลก!J418"")"),0)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IFERROR(__xludf.DUMMYFUNCTION("IMPORTRANGE(""https://docs.google.com/spreadsheets/d/11923uPwbBZFjjGgGUA6NLw09EwE0CqkOc4q9oUmW1yo/edit?usp=sharing"",""พิษณุโลก!I419"")"),0)</f>
        <v>0</v>
      </c>
      <c r="J524" s="197">
        <f ca="1">IFERROR(__xludf.DUMMYFUNCTION("IMPORTRANGE(""https://docs.google.com/spreadsheets/d/11923uPwbBZFjjGgGUA6NLw09EwE0CqkOc4q9oUmW1yo/edit?usp=sharing"",""พิษณุโลก!J419"")"),0)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IFERROR(__xludf.DUMMYFUNCTION("IMPORTRANGE(""https://docs.google.com/spreadsheets/d/11923uPwbBZFjjGgGUA6NLw09EwE0CqkOc4q9oUmW1yo/edit?usp=sharing"",""พิษณุโลก!I420"")"),0)</f>
        <v>0</v>
      </c>
      <c r="J525" s="292">
        <f ca="1">IFERROR(__xludf.DUMMYFUNCTION("IMPORTRANGE(""https://docs.google.com/spreadsheets/d/11923uPwbBZFjjGgGUA6NLw09EwE0CqkOc4q9oUmW1yo/edit?usp=sharing"",""พิษณุโลก!J420"")"),0)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IFERROR(__xludf.DUMMYFUNCTION("IMPORTRANGE(""https://docs.google.com/spreadsheets/d/11923uPwbBZFjjGgGUA6NLw09EwE0CqkOc4q9oUmW1yo/edit?usp=sharing"",""พิษณุโลก!I421"")"),0)</f>
        <v>0</v>
      </c>
      <c r="J526" s="292">
        <f ca="1">IFERROR(__xludf.DUMMYFUNCTION("IMPORTRANGE(""https://docs.google.com/spreadsheets/d/11923uPwbBZFjjGgGUA6NLw09EwE0CqkOc4q9oUmW1yo/edit?usp=sharing"",""พิษณุโลก!J421"")"),0)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IFERROR(__xludf.DUMMYFUNCTION("IMPORTRANGE(""https://docs.google.com/spreadsheets/d/11923uPwbBZFjjGgGUA6NLw09EwE0CqkOc4q9oUmW1yo/edit?usp=sharing"",""พิษณุโลก!I422"")"),0)</f>
        <v>0</v>
      </c>
      <c r="J527" s="207">
        <f ca="1">IFERROR(__xludf.DUMMYFUNCTION("IMPORTRANGE(""https://docs.google.com/spreadsheets/d/11923uPwbBZFjjGgGUA6NLw09EwE0CqkOc4q9oUmW1yo/edit?usp=sharing"",""พิษณุโลก!J422"")"),0)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IFERROR(__xludf.DUMMYFUNCTION("IMPORTRANGE(""https://docs.google.com/spreadsheets/d/11923uPwbBZFjjGgGUA6NLw09EwE0CqkOc4q9oUmW1yo/edit?usp=sharing"",""พิษณุโลก!I423"")"),0)</f>
        <v>0</v>
      </c>
      <c r="J528" s="207">
        <f ca="1">IFERROR(__xludf.DUMMYFUNCTION("IMPORTRANGE(""https://docs.google.com/spreadsheets/d/11923uPwbBZFjjGgGUA6NLw09EwE0CqkOc4q9oUmW1yo/edit?usp=sharing"",""พิษณุโลก!J423"")"),0)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IFERROR(__xludf.DUMMYFUNCTION("IMPORTRANGE(""https://docs.google.com/spreadsheets/d/11923uPwbBZFjjGgGUA6NLw09EwE0CqkOc4q9oUmW1yo/edit?usp=sharing"",""พิษณุโลก!I424"")"),0)</f>
        <v>0</v>
      </c>
      <c r="J529" s="207">
        <f ca="1">IFERROR(__xludf.DUMMYFUNCTION("IMPORTRANGE(""https://docs.google.com/spreadsheets/d/11923uPwbBZFjjGgGUA6NLw09EwE0CqkOc4q9oUmW1yo/edit?usp=sharing"",""พิษณุโลก!J424"")"),0)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IFERROR(__xludf.DUMMYFUNCTION("IMPORTRANGE(""https://docs.google.com/spreadsheets/d/11923uPwbBZFjjGgGUA6NLw09EwE0CqkOc4q9oUmW1yo/edit?usp=sharing"",""พิษณุโลก!I425"")"),0)</f>
        <v>0</v>
      </c>
      <c r="J530" s="207">
        <f ca="1">IFERROR(__xludf.DUMMYFUNCTION("IMPORTRANGE(""https://docs.google.com/spreadsheets/d/11923uPwbBZFjjGgGUA6NLw09EwE0CqkOc4q9oUmW1yo/edit?usp=sharing"",""พิษณุโลก!J425"")"),0)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IFERROR(__xludf.DUMMYFUNCTION("IMPORTRANGE(""https://docs.google.com/spreadsheets/d/11923uPwbBZFjjGgGUA6NLw09EwE0CqkOc4q9oUmW1yo/edit?usp=sharing"",""พิษณุโลก!I426"")"),0)</f>
        <v>0</v>
      </c>
      <c r="J531" s="207">
        <f ca="1">IFERROR(__xludf.DUMMYFUNCTION("IMPORTRANGE(""https://docs.google.com/spreadsheets/d/11923uPwbBZFjjGgGUA6NLw09EwE0CqkOc4q9oUmW1yo/edit?usp=sharing"",""พิษณุโลก!J426"")"),0)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IFERROR(__xludf.DUMMYFUNCTION("IMPORTRANGE(""https://docs.google.com/spreadsheets/d/11923uPwbBZFjjGgGUA6NLw09EwE0CqkOc4q9oUmW1yo/edit?usp=sharing"",""พิษณุโลก!I427"")"),0)</f>
        <v>0</v>
      </c>
      <c r="J532" s="474">
        <f ca="1">IFERROR(__xludf.DUMMYFUNCTION("IMPORTRANGE(""https://docs.google.com/spreadsheets/d/11923uPwbBZFjjGgGUA6NLw09EwE0CqkOc4q9oUmW1yo/edit?usp=sharing"",""พิษณุโลก!J427"")"),0)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IFERROR(__xludf.DUMMYFUNCTION("IMPORTRANGE(""https://docs.google.com/spreadsheets/d/11923uPwbBZFjjGgGUA6NLw09EwE0CqkOc4q9oUmW1yo/edit?usp=sharing"",""พิษณุโลก!I428"")"),22)</f>
        <v>22</v>
      </c>
      <c r="J533" s="418">
        <f ca="1">IFERROR(__xludf.DUMMYFUNCTION("IMPORTRANGE(""https://docs.google.com/spreadsheets/d/11923uPwbBZFjjGgGUA6NLw09EwE0CqkOc4q9oUmW1yo/edit?usp=sharing"",""พิษณุโลก!J428"")"),22)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IFERROR(__xludf.DUMMYFUNCTION("IMPORTRANGE(""https://docs.google.com/spreadsheets/d/11923uPwbBZFjjGgGUA6NLw09EwE0CqkOc4q9oUmW1yo/edit?usp=sharing"",""พิษณุโลก!L428"")"),34340)</f>
        <v>34340</v>
      </c>
      <c r="M533" s="420"/>
      <c r="N533" s="420">
        <f ca="1">IFERROR(__xludf.DUMMYFUNCTION("IMPORTRANGE(""https://docs.google.com/spreadsheets/d/11923uPwbBZFjjGgGUA6NLw09EwE0CqkOc4q9oUmW1yo/edit?usp=sharing"",""พิษณุโลก!M428"")"),21160)</f>
        <v>21160</v>
      </c>
      <c r="O533" s="420">
        <f t="shared" ref="O533:O537" ca="1" si="118">+IF(L533&gt;0,N533*100/L533,0)</f>
        <v>61.619103086779269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IFERROR(__xludf.DUMMYFUNCTION("IMPORTRANGE(""https://docs.google.com/spreadsheets/d/11923uPwbBZFjjGgGUA6NLw09EwE0CqkOc4q9oUmW1yo/edit?usp=sharing"",""พิษณุโลก!L429"")"),0)</f>
        <v>0</v>
      </c>
      <c r="M534" s="172"/>
      <c r="N534" s="178">
        <f ca="1">IFERROR(__xludf.DUMMYFUNCTION("IMPORTRANGE(""https://docs.google.com/spreadsheets/d/11923uPwbBZFjjGgGUA6NLw09EwE0CqkOc4q9oUmW1yo/edit?usp=sharing"",""พิษณุโลก!M429"")"),0)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IFERROR(__xludf.DUMMYFUNCTION("IMPORTRANGE(""https://docs.google.com/spreadsheets/d/11923uPwbBZFjjGgGUA6NLw09EwE0CqkOc4q9oUmW1yo/edit?usp=sharing"",""พิษณุโลก!L430"")"),34340)</f>
        <v>34340</v>
      </c>
      <c r="M535" s="173"/>
      <c r="N535" s="178">
        <f ca="1">IFERROR(__xludf.DUMMYFUNCTION("IMPORTRANGE(""https://docs.google.com/spreadsheets/d/11923uPwbBZFjjGgGUA6NLw09EwE0CqkOc4q9oUmW1yo/edit?usp=sharing"",""พิษณุโลก!M430"")"),21160)</f>
        <v>21160</v>
      </c>
      <c r="O535" s="178">
        <f t="shared" ca="1" si="118"/>
        <v>61.619103086779269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IFERROR(__xludf.DUMMYFUNCTION("IMPORTRANGE(""https://docs.google.com/spreadsheets/d/11923uPwbBZFjjGgGUA6NLw09EwE0CqkOc4q9oUmW1yo/edit?usp=sharing"",""พิษณุโลก!L431"")"),0)</f>
        <v>0</v>
      </c>
      <c r="M536" s="178"/>
      <c r="N536" s="178">
        <f ca="1">IFERROR(__xludf.DUMMYFUNCTION("IMPORTRANGE(""https://docs.google.com/spreadsheets/d/11923uPwbBZFjjGgGUA6NLw09EwE0CqkOc4q9oUmW1yo/edit?usp=sharing"",""พิษณุโลก!M431"")"),0)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IFERROR(__xludf.DUMMYFUNCTION("IMPORTRANGE(""https://docs.google.com/spreadsheets/d/11923uPwbBZFjjGgGUA6NLw09EwE0CqkOc4q9oUmW1yo/edit?usp=sharing"",""พิษณุโลก!L432"")"),34340)</f>
        <v>34340</v>
      </c>
      <c r="M537" s="178"/>
      <c r="N537" s="178">
        <f ca="1">IFERROR(__xludf.DUMMYFUNCTION("IMPORTRANGE(""https://docs.google.com/spreadsheets/d/11923uPwbBZFjjGgGUA6NLw09EwE0CqkOc4q9oUmW1yo/edit?usp=sharing"",""พิษณุโลก!M432"")"),21160)</f>
        <v>21160</v>
      </c>
      <c r="O537" s="178">
        <f t="shared" ca="1" si="118"/>
        <v>61.619103086779269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IFERROR(__xludf.DUMMYFUNCTION("IMPORTRANGE(""https://docs.google.com/spreadsheets/d/11923uPwbBZFjjGgGUA6NLw09EwE0CqkOc4q9oUmW1yo/edit?usp=sharing"",""พิษณุโลก!M433"")"),19880)</f>
        <v>19880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IFERROR(__xludf.DUMMYFUNCTION("IMPORTRANGE(""https://docs.google.com/spreadsheets/d/11923uPwbBZFjjGgGUA6NLw09EwE0CqkOc4q9oUmW1yo/edit?usp=sharing"",""พิษณุโลก!M434"")"),0)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IFERROR(__xludf.DUMMYFUNCTION("IMPORTRANGE(""https://docs.google.com/spreadsheets/d/11923uPwbBZFjjGgGUA6NLw09EwE0CqkOc4q9oUmW1yo/edit?usp=sharing"",""พิษณุโลก!M435"")"),0)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IFERROR(__xludf.DUMMYFUNCTION("IMPORTRANGE(""https://docs.google.com/spreadsheets/d/11923uPwbBZFjjGgGUA6NLw09EwE0CqkOc4q9oUmW1yo/edit?usp=sharing"",""พิษณุโลก!M436"")"),1280)</f>
        <v>1280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IFERROR(__xludf.DUMMYFUNCTION("IMPORTRANGE(""https://docs.google.com/spreadsheets/d/11923uPwbBZFjjGgGUA6NLw09EwE0CqkOc4q9oUmW1yo/edit?usp=sharing"",""พิษณุโลก!J438"")"),0)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IFERROR(__xludf.DUMMYFUNCTION("IMPORTRANGE(""https://docs.google.com/spreadsheets/d/11923uPwbBZFjjGgGUA6NLw09EwE0CqkOc4q9oUmW1yo/edit?usp=sharing"",""พิษณุโลก!J439"")"),1)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IFERROR(__xludf.DUMMYFUNCTION("IMPORTRANGE(""https://docs.google.com/spreadsheets/d/11923uPwbBZFjjGgGUA6NLw09EwE0CqkOc4q9oUmW1yo/edit?usp=sharing"",""พิษณุโลก!J440"")"),1)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IFERROR(__xludf.DUMMYFUNCTION("IMPORTRANGE(""https://docs.google.com/spreadsheets/d/11923uPwbBZFjjGgGUA6NLw09EwE0CqkOc4q9oUmW1yo/edit?usp=sharing"",""พิษณุโลก!J441"")"),1)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IFERROR(__xludf.DUMMYFUNCTION("IMPORTRANGE(""https://docs.google.com/spreadsheets/d/11923uPwbBZFjjGgGUA6NLw09EwE0CqkOc4q9oUmW1yo/edit?usp=sharing"",""พิษณุโลก!I442"")"),22)</f>
        <v>22</v>
      </c>
      <c r="J547" s="198">
        <f ca="1">IFERROR(__xludf.DUMMYFUNCTION("IMPORTRANGE(""https://docs.google.com/spreadsheets/d/11923uPwbBZFjjGgGUA6NLw09EwE0CqkOc4q9oUmW1yo/edit?usp=sharing"",""พิษณุโลก!J442"")"),22)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IFERROR(__xludf.DUMMYFUNCTION("IMPORTRANGE(""https://docs.google.com/spreadsheets/d/11923uPwbBZFjjGgGUA6NLw09EwE0CqkOc4q9oUmW1yo/edit?usp=sharing"",""พิษณุโลก!J166"")"),0)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IFERROR(__xludf.DUMMYFUNCTION("IMPORTRANGE(""https://docs.google.com/spreadsheets/d/11923uPwbBZFjjGgGUA6NLw09EwE0CqkOc4q9oUmW1yo/edit?usp=sharing"",""พิษณุโลก!J444"")"),0)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IFERROR(__xludf.DUMMYFUNCTION("IMPORTRANGE(""https://docs.google.com/spreadsheets/d/11923uPwbBZFjjGgGUA6NLw09EwE0CqkOc4q9oUmW1yo/edit?usp=sharing"",""พิษณุโลก!J445"")"),0)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IFERROR(__xludf.DUMMYFUNCTION("IMPORTRANGE(""https://docs.google.com/spreadsheets/d/11923uPwbBZFjjGgGUA6NLw09EwE0CqkOc4q9oUmW1yo/edit?usp=sharing"",""พิษณุโลก!I446"")"),9000)</f>
        <v>9000</v>
      </c>
      <c r="J551" s="418">
        <f ca="1">IFERROR(__xludf.DUMMYFUNCTION("IMPORTRANGE(""https://docs.google.com/spreadsheets/d/11923uPwbBZFjjGgGUA6NLw09EwE0CqkOc4q9oUmW1yo/edit?usp=sharing"",""พิษณุโลก!J446"")"),865)</f>
        <v>865</v>
      </c>
      <c r="K551" s="419">
        <f ca="1">IF(I551&gt;0,J551*100/I551,0)</f>
        <v>9.6111111111111107</v>
      </c>
      <c r="L551" s="420">
        <f ca="1">IFERROR(__xludf.DUMMYFUNCTION("IMPORTRANGE(""https://docs.google.com/spreadsheets/d/11923uPwbBZFjjGgGUA6NLw09EwE0CqkOc4q9oUmW1yo/edit?usp=sharing"",""พิษณุโลก!L446"")"),534000)</f>
        <v>534000</v>
      </c>
      <c r="M551" s="420"/>
      <c r="N551" s="420">
        <f ca="1">IFERROR(__xludf.DUMMYFUNCTION("IMPORTRANGE(""https://docs.google.com/spreadsheets/d/11923uPwbBZFjjGgGUA6NLw09EwE0CqkOc4q9oUmW1yo/edit?usp=sharing"",""พิษณุโลก!M446"")"),29707.74)</f>
        <v>29707.74</v>
      </c>
      <c r="O551" s="420">
        <f t="shared" ref="O551:O555" ca="1" si="120">+IF(L551&gt;0,N551*100/L551,0)</f>
        <v>5.5632471910112358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IFERROR(__xludf.DUMMYFUNCTION("IMPORTRANGE(""https://docs.google.com/spreadsheets/d/11923uPwbBZFjjGgGUA6NLw09EwE0CqkOc4q9oUmW1yo/edit?usp=sharing"",""พิษณุโลก!L447"")"),0)</f>
        <v>0</v>
      </c>
      <c r="M552" s="172"/>
      <c r="N552" s="178">
        <f ca="1">IFERROR(__xludf.DUMMYFUNCTION("IMPORTRANGE(""https://docs.google.com/spreadsheets/d/11923uPwbBZFjjGgGUA6NLw09EwE0CqkOc4q9oUmW1yo/edit?usp=sharing"",""พิษณุโลก!M447"")"),0)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IFERROR(__xludf.DUMMYFUNCTION("IMPORTRANGE(""https://docs.google.com/spreadsheets/d/11923uPwbBZFjjGgGUA6NLw09EwE0CqkOc4q9oUmW1yo/edit?usp=sharing"",""พิษณุโลก!L448"")"),534000)</f>
        <v>534000</v>
      </c>
      <c r="M553" s="173"/>
      <c r="N553" s="178">
        <f ca="1">IFERROR(__xludf.DUMMYFUNCTION("IMPORTRANGE(""https://docs.google.com/spreadsheets/d/11923uPwbBZFjjGgGUA6NLw09EwE0CqkOc4q9oUmW1yo/edit?usp=sharing"",""พิษณุโลก!M448"")"),29707.74)</f>
        <v>29707.74</v>
      </c>
      <c r="O553" s="178">
        <f t="shared" ca="1" si="120"/>
        <v>5.5632471910112358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IFERROR(__xludf.DUMMYFUNCTION("IMPORTRANGE(""https://docs.google.com/spreadsheets/d/11923uPwbBZFjjGgGUA6NLw09EwE0CqkOc4q9oUmW1yo/edit?usp=sharing"",""พิษณุโลก!L449"")"),0)</f>
        <v>0</v>
      </c>
      <c r="M554" s="178"/>
      <c r="N554" s="178">
        <f ca="1">IFERROR(__xludf.DUMMYFUNCTION("IMPORTRANGE(""https://docs.google.com/spreadsheets/d/11923uPwbBZFjjGgGUA6NLw09EwE0CqkOc4q9oUmW1yo/edit?usp=sharing"",""พิษณุโลก!M449"")"),0)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IFERROR(__xludf.DUMMYFUNCTION("IMPORTRANGE(""https://docs.google.com/spreadsheets/d/11923uPwbBZFjjGgGUA6NLw09EwE0CqkOc4q9oUmW1yo/edit?usp=sharing"",""พิษณุโลก!L450"")"),534000)</f>
        <v>534000</v>
      </c>
      <c r="M555" s="178"/>
      <c r="N555" s="178">
        <f ca="1">IFERROR(__xludf.DUMMYFUNCTION("IMPORTRANGE(""https://docs.google.com/spreadsheets/d/11923uPwbBZFjjGgGUA6NLw09EwE0CqkOc4q9oUmW1yo/edit?usp=sharing"",""พิษณุโลก!M450"")"),29707.74)</f>
        <v>29707.74</v>
      </c>
      <c r="O555" s="178">
        <f t="shared" ca="1" si="120"/>
        <v>5.5632471910112358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IFERROR(__xludf.DUMMYFUNCTION("IMPORTRANGE(""https://docs.google.com/spreadsheets/d/11923uPwbBZFjjGgGUA6NLw09EwE0CqkOc4q9oUmW1yo/edit?usp=sharing"",""พิษณุโลก!M451"")"),0)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IFERROR(__xludf.DUMMYFUNCTION("IMPORTRANGE(""https://docs.google.com/spreadsheets/d/11923uPwbBZFjjGgGUA6NLw09EwE0CqkOc4q9oUmW1yo/edit?usp=sharing"",""พิษณุโลก!M452"")"),0)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IFERROR(__xludf.DUMMYFUNCTION("IMPORTRANGE(""https://docs.google.com/spreadsheets/d/11923uPwbBZFjjGgGUA6NLw09EwE0CqkOc4q9oUmW1yo/edit?usp=sharing"",""พิษณุโลก!M453"")"),0)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IFERROR(__xludf.DUMMYFUNCTION("IMPORTRANGE(""https://docs.google.com/spreadsheets/d/11923uPwbBZFjjGgGUA6NLw09EwE0CqkOc4q9oUmW1yo/edit?usp=sharing"",""พิษณุโลก!M454"")"),29707.74)</f>
        <v>29707.74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IFERROR(__xludf.DUMMYFUNCTION("IMPORTRANGE(""https://docs.google.com/spreadsheets/d/11923uPwbBZFjjGgGUA6NLw09EwE0CqkOc4q9oUmW1yo/edit?usp=sharing"",""พิษณุโลก!I455"")"),9000)</f>
        <v>9000</v>
      </c>
      <c r="J560" s="170">
        <f ca="1">IFERROR(__xludf.DUMMYFUNCTION("IMPORTRANGE(""https://docs.google.com/spreadsheets/d/11923uPwbBZFjjGgGUA6NLw09EwE0CqkOc4q9oUmW1yo/edit?usp=sharing"",""พิษณุโลก!J455"")"),865)</f>
        <v>865</v>
      </c>
      <c r="K560" s="233">
        <f t="shared" ref="K560:K564" ca="1" si="121">IF(I560&gt;0,J560*100/I560,0)</f>
        <v>9.6111111111111107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IFERROR(__xludf.DUMMYFUNCTION("IMPORTRANGE(""https://docs.google.com/spreadsheets/d/11923uPwbBZFjjGgGUA6NLw09EwE0CqkOc4q9oUmW1yo/edit?usp=sharing"",""พิษณุโลก!I456"")"),0)</f>
        <v>0</v>
      </c>
      <c r="J561" s="213">
        <f ca="1">IFERROR(__xludf.DUMMYFUNCTION("IMPORTRANGE(""https://docs.google.com/spreadsheets/d/11923uPwbBZFjjGgGUA6NLw09EwE0CqkOc4q9oUmW1yo/edit?usp=sharing"",""พิษณุโลก!J456"")"),55)</f>
        <v>55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 t="str">
        <f ca="1">IFERROR(__xludf.DUMMYFUNCTION("IMPORTRANGE(""https://docs.google.com/spreadsheets/d/11923uPwbBZFjjGgGUA6NLw09EwE0CqkOc4q9oUmW1yo/edit?usp=sharing"",""พิษณุโลก!I457"")"),"")</f>
        <v/>
      </c>
      <c r="J562" s="213" t="str">
        <f ca="1">IFERROR(__xludf.DUMMYFUNCTION("IMPORTRANGE(""https://docs.google.com/spreadsheets/d/11923uPwbBZFjjGgGUA6NLw09EwE0CqkOc4q9oUmW1yo/edit?usp=sharing"",""พิษณุโลก!J457"")"),"")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 t="str">
        <f ca="1">IFERROR(__xludf.DUMMYFUNCTION("IMPORTRANGE(""https://docs.google.com/spreadsheets/d/11923uPwbBZFjjGgGUA6NLw09EwE0CqkOc4q9oUmW1yo/edit?usp=sharing"",""พิษณุโลก!I458"")"),"")</f>
        <v/>
      </c>
      <c r="J563" s="197" t="str">
        <f ca="1">IFERROR(__xludf.DUMMYFUNCTION("IMPORTRANGE(""https://docs.google.com/spreadsheets/d/11923uPwbBZFjjGgGUA6NLw09EwE0CqkOc4q9oUmW1yo/edit?usp=sharing"",""พิษณุโลก!J458"")"),"")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IFERROR(__xludf.DUMMYFUNCTION("IMPORTRANGE(""https://docs.google.com/spreadsheets/d/11923uPwbBZFjjGgGUA6NLw09EwE0CqkOc4q9oUmW1yo/edit?usp=sharing"",""พิษณุโลก!I459"")"),1500)</f>
        <v>1500</v>
      </c>
      <c r="J564" s="379">
        <f ca="1">IFERROR(__xludf.DUMMYFUNCTION("IMPORTRANGE(""https://docs.google.com/spreadsheets/d/11923uPwbBZFjjGgGUA6NLw09EwE0CqkOc4q9oUmW1yo/edit?usp=sharing"",""พิษณุโลก!J459"")"),1231)</f>
        <v>1231</v>
      </c>
      <c r="K564" s="380">
        <f t="shared" ca="1" si="121"/>
        <v>82.066666666666663</v>
      </c>
      <c r="L564" s="381">
        <f ca="1">IFERROR(__xludf.DUMMYFUNCTION("IMPORTRANGE(""https://docs.google.com/spreadsheets/d/11923uPwbBZFjjGgGUA6NLw09EwE0CqkOc4q9oUmW1yo/edit?usp=sharing"",""พิษณุโลก!L459"")"),144240)</f>
        <v>144240</v>
      </c>
      <c r="M564" s="381"/>
      <c r="N564" s="381">
        <f ca="1">IFERROR(__xludf.DUMMYFUNCTION("IMPORTRANGE(""https://docs.google.com/spreadsheets/d/11923uPwbBZFjjGgGUA6NLw09EwE0CqkOc4q9oUmW1yo/edit?usp=sharing"",""พิษณุโลก!M459"")"),11080.64)</f>
        <v>11080.64</v>
      </c>
      <c r="O564" s="381">
        <f t="shared" ref="O564:O568" ca="1" si="122">+IF(L564&gt;0,N564*100/L564,0)</f>
        <v>7.6820854132002214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IFERROR(__xludf.DUMMYFUNCTION("IMPORTRANGE(""https://docs.google.com/spreadsheets/d/11923uPwbBZFjjGgGUA6NLw09EwE0CqkOc4q9oUmW1yo/edit?usp=sharing"",""พิษณุโลก!L460"")"),0)</f>
        <v>0</v>
      </c>
      <c r="M565" s="172"/>
      <c r="N565" s="178">
        <f ca="1">IFERROR(__xludf.DUMMYFUNCTION("IMPORTRANGE(""https://docs.google.com/spreadsheets/d/11923uPwbBZFjjGgGUA6NLw09EwE0CqkOc4q9oUmW1yo/edit?usp=sharing"",""พิษณุโลก!M460"")"),0)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IFERROR(__xludf.DUMMYFUNCTION("IMPORTRANGE(""https://docs.google.com/spreadsheets/d/11923uPwbBZFjjGgGUA6NLw09EwE0CqkOc4q9oUmW1yo/edit?usp=sharing"",""พิษณุโลก!L461"")"),144240)</f>
        <v>144240</v>
      </c>
      <c r="M566" s="173"/>
      <c r="N566" s="178">
        <f ca="1">IFERROR(__xludf.DUMMYFUNCTION("IMPORTRANGE(""https://docs.google.com/spreadsheets/d/11923uPwbBZFjjGgGUA6NLw09EwE0CqkOc4q9oUmW1yo/edit?usp=sharing"",""พิษณุโลก!M461"")"),11080.64)</f>
        <v>11080.64</v>
      </c>
      <c r="O566" s="178">
        <f t="shared" ca="1" si="122"/>
        <v>7.6820854132002214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IFERROR(__xludf.DUMMYFUNCTION("IMPORTRANGE(""https://docs.google.com/spreadsheets/d/11923uPwbBZFjjGgGUA6NLw09EwE0CqkOc4q9oUmW1yo/edit?usp=sharing"",""พิษณุโลก!L462"")"),0)</f>
        <v>0</v>
      </c>
      <c r="M567" s="178"/>
      <c r="N567" s="178">
        <f ca="1">IFERROR(__xludf.DUMMYFUNCTION("IMPORTRANGE(""https://docs.google.com/spreadsheets/d/11923uPwbBZFjjGgGUA6NLw09EwE0CqkOc4q9oUmW1yo/edit?usp=sharing"",""พิษณุโลก!M462"")"),0)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IFERROR(__xludf.DUMMYFUNCTION("IMPORTRANGE(""https://docs.google.com/spreadsheets/d/11923uPwbBZFjjGgGUA6NLw09EwE0CqkOc4q9oUmW1yo/edit?usp=sharing"",""พิษณุโลก!L463"")"),144240)</f>
        <v>144240</v>
      </c>
      <c r="M568" s="178"/>
      <c r="N568" s="178">
        <f ca="1">IFERROR(__xludf.DUMMYFUNCTION("IMPORTRANGE(""https://docs.google.com/spreadsheets/d/11923uPwbBZFjjGgGUA6NLw09EwE0CqkOc4q9oUmW1yo/edit?usp=sharing"",""พิษณุโลก!M463"")"),11080.64)</f>
        <v>11080.64</v>
      </c>
      <c r="O568" s="178">
        <f t="shared" ca="1" si="122"/>
        <v>7.6820854132002214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IFERROR(__xludf.DUMMYFUNCTION("IMPORTRANGE(""https://docs.google.com/spreadsheets/d/11923uPwbBZFjjGgGUA6NLw09EwE0CqkOc4q9oUmW1yo/edit?usp=sharing"",""พิษณุโลก!M464"")"),0)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IFERROR(__xludf.DUMMYFUNCTION("IMPORTRANGE(""https://docs.google.com/spreadsheets/d/11923uPwbBZFjjGgGUA6NLw09EwE0CqkOc4q9oUmW1yo/edit?usp=sharing"",""พิษณุโลก!M465"")"),0)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IFERROR(__xludf.DUMMYFUNCTION("IMPORTRANGE(""https://docs.google.com/spreadsheets/d/11923uPwbBZFjjGgGUA6NLw09EwE0CqkOc4q9oUmW1yo/edit?usp=sharing"",""พิษณุโลก!M466"")"),9580.64)</f>
        <v>9580.64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IFERROR(__xludf.DUMMYFUNCTION("IMPORTRANGE(""https://docs.google.com/spreadsheets/d/11923uPwbBZFjjGgGUA6NLw09EwE0CqkOc4q9oUmW1yo/edit?usp=sharing"",""พิษณุโลก!M467"")"),1500)</f>
        <v>1500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IFERROR(__xludf.DUMMYFUNCTION("IMPORTRANGE(""https://docs.google.com/spreadsheets/d/11923uPwbBZFjjGgGUA6NLw09EwE0CqkOc4q9oUmW1yo/edit?usp=sharing"",""พิษณุโลก!I468"")"),1500)</f>
        <v>1500</v>
      </c>
      <c r="J573" s="428">
        <f ca="1">IFERROR(__xludf.DUMMYFUNCTION("IMPORTRANGE(""https://docs.google.com/spreadsheets/d/11923uPwbBZFjjGgGUA6NLw09EwE0CqkOc4q9oUmW1yo/edit?usp=sharing"",""พิษณุโลก!J468"")"),1231)</f>
        <v>1231</v>
      </c>
      <c r="K573" s="211">
        <f ca="1">IF(I573&gt;0,J573*100/I573,0)</f>
        <v>82.066666666666663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IFERROR(__xludf.DUMMYFUNCTION("IMPORTRANGE(""https://docs.google.com/spreadsheets/d/11923uPwbBZFjjGgGUA6NLw09EwE0CqkOc4q9oUmW1yo/edit?usp=sharing"",""พิษณุโลก!I470"")"),0)</f>
        <v>0</v>
      </c>
      <c r="J575" s="207">
        <f ca="1">IFERROR(__xludf.DUMMYFUNCTION("IMPORTRANGE(""https://docs.google.com/spreadsheets/d/11923uPwbBZFjjGgGUA6NLw09EwE0CqkOc4q9oUmW1yo/edit?usp=sharing"",""พิษณุโลก!J470"")"),4)</f>
        <v>4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IFERROR(__xludf.DUMMYFUNCTION("IMPORTRANGE(""https://docs.google.com/spreadsheets/d/11923uPwbBZFjjGgGUA6NLw09EwE0CqkOc4q9oUmW1yo/edit?usp=sharing"",""พิษณุโลก!I471"")"),0)</f>
        <v>0</v>
      </c>
      <c r="J576" s="207">
        <f ca="1">IFERROR(__xludf.DUMMYFUNCTION("IMPORTRANGE(""https://docs.google.com/spreadsheets/d/11923uPwbBZFjjGgGUA6NLw09EwE0CqkOc4q9oUmW1yo/edit?usp=sharing"",""พิษณุโลก!J471"")"),165)</f>
        <v>165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IFERROR(__xludf.DUMMYFUNCTION("IMPORTRANGE(""https://docs.google.com/spreadsheets/d/11923uPwbBZFjjGgGUA6NLw09EwE0CqkOc4q9oUmW1yo/edit?usp=sharing"",""พิษณุโลก!I472"")"),0)</f>
        <v>0</v>
      </c>
      <c r="J577" s="198">
        <f ca="1">IFERROR(__xludf.DUMMYFUNCTION("IMPORTRANGE(""https://docs.google.com/spreadsheets/d/11923uPwbBZFjjGgGUA6NLw09EwE0CqkOc4q9oUmW1yo/edit?usp=sharing"",""พิษณุโลก!J472"")"),1062)</f>
        <v>1062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IFERROR(__xludf.DUMMYFUNCTION("IMPORTRANGE(""https://docs.google.com/spreadsheets/d/11923uPwbBZFjjGgGUA6NLw09EwE0CqkOc4q9oUmW1yo/edit?usp=sharing"",""พิษณุโลก!I473"")"),0)</f>
        <v>0</v>
      </c>
      <c r="J578" s="207">
        <f ca="1">IFERROR(__xludf.DUMMYFUNCTION("IMPORTRANGE(""https://docs.google.com/spreadsheets/d/11923uPwbBZFjjGgGUA6NLw09EwE0CqkOc4q9oUmW1yo/edit?usp=sharing"",""พิษณุโลก!J473"")"),4)</f>
        <v>4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IFERROR(__xludf.DUMMYFUNCTION("IMPORTRANGE(""https://docs.google.com/spreadsheets/d/11923uPwbBZFjjGgGUA6NLw09EwE0CqkOc4q9oUmW1yo/edit?usp=sharing"",""พิษณุโลก!I474"")"),0)</f>
        <v>0</v>
      </c>
      <c r="J579" s="207">
        <f ca="1">IFERROR(__xludf.DUMMYFUNCTION("IMPORTRANGE(""https://docs.google.com/spreadsheets/d/11923uPwbBZFjjGgGUA6NLw09EwE0CqkOc4q9oUmW1yo/edit?usp=sharing"",""พิษณุโลก!J474"")"),0)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IFERROR(__xludf.DUMMYFUNCTION("IMPORTRANGE(""https://docs.google.com/spreadsheets/d/11923uPwbBZFjjGgGUA6NLw09EwE0CqkOc4q9oUmW1yo/edit?usp=sharing"",""พิษณุโลก!I475"")"),24)</f>
        <v>24</v>
      </c>
      <c r="J580" s="379">
        <f ca="1">IFERROR(__xludf.DUMMYFUNCTION("IMPORTRANGE(""https://docs.google.com/spreadsheets/d/11923uPwbBZFjjGgGUA6NLw09EwE0CqkOc4q9oUmW1yo/edit?usp=sharing"",""พิษณุโลก!J475"")"),3)</f>
        <v>3</v>
      </c>
      <c r="K580" s="380">
        <f ca="1">IF(I580&gt;0,J580*100/I580,0)</f>
        <v>12.5</v>
      </c>
      <c r="L580" s="381">
        <f ca="1">IFERROR(__xludf.DUMMYFUNCTION("IMPORTRANGE(""https://docs.google.com/spreadsheets/d/11923uPwbBZFjjGgGUA6NLw09EwE0CqkOc4q9oUmW1yo/edit?usp=sharing"",""พิษณุโลก!L475"")"),127824)</f>
        <v>127824</v>
      </c>
      <c r="M580" s="381"/>
      <c r="N580" s="381">
        <f ca="1">IFERROR(__xludf.DUMMYFUNCTION("IMPORTRANGE(""https://docs.google.com/spreadsheets/d/11923uPwbBZFjjGgGUA6NLw09EwE0CqkOc4q9oUmW1yo/edit?usp=sharing"",""พิษณุโลก!M475"")"),240)</f>
        <v>240</v>
      </c>
      <c r="O580" s="381">
        <f t="shared" ref="O580:O584" ca="1" si="124">+IF(L580&gt;0,N580*100/L580,0)</f>
        <v>0.1877581674802854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IFERROR(__xludf.DUMMYFUNCTION("IMPORTRANGE(""https://docs.google.com/spreadsheets/d/11923uPwbBZFjjGgGUA6NLw09EwE0CqkOc4q9oUmW1yo/edit?usp=sharing"",""พิษณุโลก!L476"")"),0)</f>
        <v>0</v>
      </c>
      <c r="M581" s="172"/>
      <c r="N581" s="178">
        <f ca="1">IFERROR(__xludf.DUMMYFUNCTION("IMPORTRANGE(""https://docs.google.com/spreadsheets/d/11923uPwbBZFjjGgGUA6NLw09EwE0CqkOc4q9oUmW1yo/edit?usp=sharing"",""พิษณุโลก!M476"")"),0)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IFERROR(__xludf.DUMMYFUNCTION("IMPORTRANGE(""https://docs.google.com/spreadsheets/d/11923uPwbBZFjjGgGUA6NLw09EwE0CqkOc4q9oUmW1yo/edit?usp=sharing"",""พิษณุโลก!L477"")"),127824)</f>
        <v>127824</v>
      </c>
      <c r="M582" s="173"/>
      <c r="N582" s="178">
        <f ca="1">IFERROR(__xludf.DUMMYFUNCTION("IMPORTRANGE(""https://docs.google.com/spreadsheets/d/11923uPwbBZFjjGgGUA6NLw09EwE0CqkOc4q9oUmW1yo/edit?usp=sharing"",""พิษณุโลก!M477"")"),240)</f>
        <v>240</v>
      </c>
      <c r="O582" s="178">
        <f t="shared" ca="1" si="124"/>
        <v>0.1877581674802854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IFERROR(__xludf.DUMMYFUNCTION("IMPORTRANGE(""https://docs.google.com/spreadsheets/d/11923uPwbBZFjjGgGUA6NLw09EwE0CqkOc4q9oUmW1yo/edit?usp=sharing"",""พิษณุโลก!L478"")"),0)</f>
        <v>0</v>
      </c>
      <c r="M583" s="178"/>
      <c r="N583" s="178">
        <f ca="1">IFERROR(__xludf.DUMMYFUNCTION("IMPORTRANGE(""https://docs.google.com/spreadsheets/d/11923uPwbBZFjjGgGUA6NLw09EwE0CqkOc4q9oUmW1yo/edit?usp=sharing"",""พิษณุโลก!M478"")"),0)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IFERROR(__xludf.DUMMYFUNCTION("IMPORTRANGE(""https://docs.google.com/spreadsheets/d/11923uPwbBZFjjGgGUA6NLw09EwE0CqkOc4q9oUmW1yo/edit?usp=sharing"",""พิษณุโลก!L479"")"),127824)</f>
        <v>127824</v>
      </c>
      <c r="M584" s="178"/>
      <c r="N584" s="178">
        <f ca="1">IFERROR(__xludf.DUMMYFUNCTION("IMPORTRANGE(""https://docs.google.com/spreadsheets/d/11923uPwbBZFjjGgGUA6NLw09EwE0CqkOc4q9oUmW1yo/edit?usp=sharing"",""พิษณุโลก!M479"")"),240)</f>
        <v>240</v>
      </c>
      <c r="O584" s="178">
        <f t="shared" ca="1" si="124"/>
        <v>0.1877581674802854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IFERROR(__xludf.DUMMYFUNCTION("IMPORTRANGE(""https://docs.google.com/spreadsheets/d/11923uPwbBZFjjGgGUA6NLw09EwE0CqkOc4q9oUmW1yo/edit?usp=sharing"",""พิษณุโลก!M480"")"),0)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IFERROR(__xludf.DUMMYFUNCTION("IMPORTRANGE(""https://docs.google.com/spreadsheets/d/11923uPwbBZFjjGgGUA6NLw09EwE0CqkOc4q9oUmW1yo/edit?usp=sharing"",""พิษณุโลก!M481"")"),0)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IFERROR(__xludf.DUMMYFUNCTION("IMPORTRANGE(""https://docs.google.com/spreadsheets/d/11923uPwbBZFjjGgGUA6NLw09EwE0CqkOc4q9oUmW1yo/edit?usp=sharing"",""พิษณุโลก!M482"")"),0)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IFERROR(__xludf.DUMMYFUNCTION("IMPORTRANGE(""https://docs.google.com/spreadsheets/d/11923uPwbBZFjjGgGUA6NLw09EwE0CqkOc4q9oUmW1yo/edit?usp=sharing"",""พิษณุโลก!M483"")"),240)</f>
        <v>240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IFERROR(__xludf.DUMMYFUNCTION("IMPORTRANGE(""https://docs.google.com/spreadsheets/d/11923uPwbBZFjjGgGUA6NLw09EwE0CqkOc4q9oUmW1yo/edit?usp=sharing"",""พิษณุโลก!I484"")"),24)</f>
        <v>24</v>
      </c>
      <c r="J589" s="197">
        <f ca="1">IFERROR(__xludf.DUMMYFUNCTION("IMPORTRANGE(""https://docs.google.com/spreadsheets/d/11923uPwbBZFjjGgGUA6NLw09EwE0CqkOc4q9oUmW1yo/edit?usp=sharing"",""พิษณุโลก!J484"")"),5)</f>
        <v>5</v>
      </c>
      <c r="K589" s="171">
        <f t="shared" ref="K589:K596" ca="1" si="125">IF(I589&gt;0,J589*100/I589,0)</f>
        <v>20.833333333333332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IFERROR(__xludf.DUMMYFUNCTION("IMPORTRANGE(""https://docs.google.com/spreadsheets/d/11923uPwbBZFjjGgGUA6NLw09EwE0CqkOc4q9oUmW1yo/edit?usp=sharing"",""พิษณุโลก!I485"")"),0)</f>
        <v>0</v>
      </c>
      <c r="J590" s="197">
        <f ca="1">IFERROR(__xludf.DUMMYFUNCTION("IMPORTRANGE(""https://docs.google.com/spreadsheets/d/11923uPwbBZFjjGgGUA6NLw09EwE0CqkOc4q9oUmW1yo/edit?usp=sharing"",""พิษณุโลก!J485"")"),28.33)</f>
        <v>28.33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IFERROR(__xludf.DUMMYFUNCTION("IMPORTRANGE(""https://docs.google.com/spreadsheets/d/11923uPwbBZFjjGgGUA6NLw09EwE0CqkOc4q9oUmW1yo/edit?usp=sharing"",""พิษณุโลก!I486"")"),24)</f>
        <v>24</v>
      </c>
      <c r="J591" s="197">
        <f ca="1">IFERROR(__xludf.DUMMYFUNCTION("IMPORTRANGE(""https://docs.google.com/spreadsheets/d/11923uPwbBZFjjGgGUA6NLw09EwE0CqkOc4q9oUmW1yo/edit?usp=sharing"",""พิษณุโลก!J486"")"),3)</f>
        <v>3</v>
      </c>
      <c r="K591" s="171">
        <f t="shared" ca="1" si="125"/>
        <v>12.5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IFERROR(__xludf.DUMMYFUNCTION("IMPORTRANGE(""https://docs.google.com/spreadsheets/d/11923uPwbBZFjjGgGUA6NLw09EwE0CqkOc4q9oUmW1yo/edit?usp=sharing"",""พิษณุโลก!I487"")"),0)</f>
        <v>0</v>
      </c>
      <c r="J592" s="197">
        <f ca="1">IFERROR(__xludf.DUMMYFUNCTION("IMPORTRANGE(""https://docs.google.com/spreadsheets/d/11923uPwbBZFjjGgGUA6NLw09EwE0CqkOc4q9oUmW1yo/edit?usp=sharing"",""พิษณุโลก!J487"")"),4.76)</f>
        <v>4.76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IFERROR(__xludf.DUMMYFUNCTION("IMPORTRANGE(""https://docs.google.com/spreadsheets/d/11923uPwbBZFjjGgGUA6NLw09EwE0CqkOc4q9oUmW1yo/edit?usp=sharing"",""พิษณุโลก!I488"")"),24)</f>
        <v>24</v>
      </c>
      <c r="J593" s="197">
        <f ca="1">IFERROR(__xludf.DUMMYFUNCTION("IMPORTRANGE(""https://docs.google.com/spreadsheets/d/11923uPwbBZFjjGgGUA6NLw09EwE0CqkOc4q9oUmW1yo/edit?usp=sharing"",""พิษณุโลก!J488"")"),0)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IFERROR(__xludf.DUMMYFUNCTION("IMPORTRANGE(""https://docs.google.com/spreadsheets/d/11923uPwbBZFjjGgGUA6NLw09EwE0CqkOc4q9oUmW1yo/edit?usp=sharing"",""พิษณุโลก!I489"")"),0)</f>
        <v>0</v>
      </c>
      <c r="J594" s="197">
        <f ca="1">IFERROR(__xludf.DUMMYFUNCTION("IMPORTRANGE(""https://docs.google.com/spreadsheets/d/11923uPwbBZFjjGgGUA6NLw09EwE0CqkOc4q9oUmW1yo/edit?usp=sharing"",""พิษณุโลก!J489"")"),0)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IFERROR(__xludf.DUMMYFUNCTION("IMPORTRANGE(""https://docs.google.com/spreadsheets/d/11923uPwbBZFjjGgGUA6NLw09EwE0CqkOc4q9oUmW1yo/edit?usp=sharing"",""พิษณุโลก!I490"")"),24)</f>
        <v>24</v>
      </c>
      <c r="J595" s="197">
        <f ca="1">IFERROR(__xludf.DUMMYFUNCTION("IMPORTRANGE(""https://docs.google.com/spreadsheets/d/11923uPwbBZFjjGgGUA6NLw09EwE0CqkOc4q9oUmW1yo/edit?usp=sharing"",""พิษณุโลก!J490"")"),3)</f>
        <v>3</v>
      </c>
      <c r="K595" s="171">
        <f t="shared" ca="1" si="125"/>
        <v>12.5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IFERROR(__xludf.DUMMYFUNCTION("IMPORTRANGE(""https://docs.google.com/spreadsheets/d/11923uPwbBZFjjGgGUA6NLw09EwE0CqkOc4q9oUmW1yo/edit?usp=sharing"",""พิษณุโลก!I491"")"),0)</f>
        <v>0</v>
      </c>
      <c r="J596" s="250">
        <f ca="1">IFERROR(__xludf.DUMMYFUNCTION("IMPORTRANGE(""https://docs.google.com/spreadsheets/d/11923uPwbBZFjjGgGUA6NLw09EwE0CqkOc4q9oUmW1yo/edit?usp=sharing"",""พิษณุโลก!J491"")"),4.76)</f>
        <v>4.76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IFERROR(__xludf.DUMMYFUNCTION("IMPORTRANGE(""https://docs.google.com/spreadsheets/d/11923uPwbBZFjjGgGUA6NLw09EwE0CqkOc4q9oUmW1yo/edit?usp=sharing"",""พิษณุโลก!I492"")"),50)</f>
        <v>50</v>
      </c>
      <c r="J597" s="495">
        <f ca="1">IFERROR(__xludf.DUMMYFUNCTION("IMPORTRANGE(""https://docs.google.com/spreadsheets/d/11923uPwbBZFjjGgGUA6NLw09EwE0CqkOc4q9oUmW1yo/edit?usp=sharing"",""พิษณุโลก!J492"")"),0)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IFERROR(__xludf.DUMMYFUNCTION("IMPORTRANGE(""https://docs.google.com/spreadsheets/d/11923uPwbBZFjjGgGUA6NLw09EwE0CqkOc4q9oUmW1yo/edit?usp=sharing"",""พิษณุโลก!L492"")"),4550)</f>
        <v>4550</v>
      </c>
      <c r="M597" s="420"/>
      <c r="N597" s="420">
        <f ca="1">IFERROR(__xludf.DUMMYFUNCTION("IMPORTRANGE(""https://docs.google.com/spreadsheets/d/11923uPwbBZFjjGgGUA6NLw09EwE0CqkOc4q9oUmW1yo/edit?usp=sharing"",""พิษณุโลก!M492"")"),400)</f>
        <v>400</v>
      </c>
      <c r="O597" s="420">
        <f t="shared" ref="O597:O601" ca="1" si="126">+IF(L597&gt;0,N597*100/L597,0)</f>
        <v>8.791208791208792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IFERROR(__xludf.DUMMYFUNCTION("IMPORTRANGE(""https://docs.google.com/spreadsheets/d/11923uPwbBZFjjGgGUA6NLw09EwE0CqkOc4q9oUmW1yo/edit?usp=sharing"",""พิษณุโลก!L493"")"),0)</f>
        <v>0</v>
      </c>
      <c r="M598" s="172"/>
      <c r="N598" s="178">
        <f ca="1">IFERROR(__xludf.DUMMYFUNCTION("IMPORTRANGE(""https://docs.google.com/spreadsheets/d/11923uPwbBZFjjGgGUA6NLw09EwE0CqkOc4q9oUmW1yo/edit?usp=sharing"",""พิษณุโลก!M493"")"),0)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IFERROR(__xludf.DUMMYFUNCTION("IMPORTRANGE(""https://docs.google.com/spreadsheets/d/11923uPwbBZFjjGgGUA6NLw09EwE0CqkOc4q9oUmW1yo/edit?usp=sharing"",""พิษณุโลก!L494"")"),4550)</f>
        <v>4550</v>
      </c>
      <c r="M599" s="173"/>
      <c r="N599" s="178">
        <f ca="1">IFERROR(__xludf.DUMMYFUNCTION("IMPORTRANGE(""https://docs.google.com/spreadsheets/d/11923uPwbBZFjjGgGUA6NLw09EwE0CqkOc4q9oUmW1yo/edit?usp=sharing"",""พิษณุโลก!M494"")"),400)</f>
        <v>400</v>
      </c>
      <c r="O599" s="178">
        <f t="shared" ca="1" si="126"/>
        <v>8.791208791208792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IFERROR(__xludf.DUMMYFUNCTION("IMPORTRANGE(""https://docs.google.com/spreadsheets/d/11923uPwbBZFjjGgGUA6NLw09EwE0CqkOc4q9oUmW1yo/edit?usp=sharing"",""พิษณุโลก!L495"")"),0)</f>
        <v>0</v>
      </c>
      <c r="M600" s="178"/>
      <c r="N600" s="178">
        <f ca="1">IFERROR(__xludf.DUMMYFUNCTION("IMPORTRANGE(""https://docs.google.com/spreadsheets/d/11923uPwbBZFjjGgGUA6NLw09EwE0CqkOc4q9oUmW1yo/edit?usp=sharing"",""พิษณุโลก!M495"")"),0)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IFERROR(__xludf.DUMMYFUNCTION("IMPORTRANGE(""https://docs.google.com/spreadsheets/d/11923uPwbBZFjjGgGUA6NLw09EwE0CqkOc4q9oUmW1yo/edit?usp=sharing"",""พิษณุโลก!L496"")"),4550)</f>
        <v>4550</v>
      </c>
      <c r="M601" s="178"/>
      <c r="N601" s="178">
        <f ca="1">IFERROR(__xludf.DUMMYFUNCTION("IMPORTRANGE(""https://docs.google.com/spreadsheets/d/11923uPwbBZFjjGgGUA6NLw09EwE0CqkOc4q9oUmW1yo/edit?usp=sharing"",""พิษณุโลก!M496"")"),400)</f>
        <v>400</v>
      </c>
      <c r="O601" s="178">
        <f t="shared" ca="1" si="126"/>
        <v>8.791208791208792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IFERROR(__xludf.DUMMYFUNCTION("IMPORTRANGE(""https://docs.google.com/spreadsheets/d/11923uPwbBZFjjGgGUA6NLw09EwE0CqkOc4q9oUmW1yo/edit?usp=sharing"",""พิษณุโลก!M497"")"),0)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IFERROR(__xludf.DUMMYFUNCTION("IMPORTRANGE(""https://docs.google.com/spreadsheets/d/11923uPwbBZFjjGgGUA6NLw09EwE0CqkOc4q9oUmW1yo/edit?usp=sharing"",""พิษณุโลก!M498"")"),0)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IFERROR(__xludf.DUMMYFUNCTION("IMPORTRANGE(""https://docs.google.com/spreadsheets/d/11923uPwbBZFjjGgGUA6NLw09EwE0CqkOc4q9oUmW1yo/edit?usp=sharing"",""พิษณุโลก!M499"")"),0)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IFERROR(__xludf.DUMMYFUNCTION("IMPORTRANGE(""https://docs.google.com/spreadsheets/d/11923uPwbBZFjjGgGUA6NLw09EwE0CqkOc4q9oUmW1yo/edit?usp=sharing"",""พิษณุโลก!M500"")"),400)</f>
        <v>400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IFERROR(__xludf.DUMMYFUNCTION("IMPORTRANGE(""https://docs.google.com/spreadsheets/d/11923uPwbBZFjjGgGUA6NLw09EwE0CqkOc4q9oUmW1yo/edit?usp=sharing"",""พิษณุโลก!J502"")"),0)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IFERROR(__xludf.DUMMYFUNCTION("IMPORTRANGE(""https://docs.google.com/spreadsheets/d/11923uPwbBZFjjGgGUA6NLw09EwE0CqkOc4q9oUmW1yo/edit?usp=sharing"",""พิษณุโลก!J503"")"),1)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IFERROR(__xludf.DUMMYFUNCTION("IMPORTRANGE(""https://docs.google.com/spreadsheets/d/11923uPwbBZFjjGgGUA6NLw09EwE0CqkOc4q9oUmW1yo/edit?usp=sharing"",""พิษณุโลก!J166"")"),0)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IFERROR(__xludf.DUMMYFUNCTION("IMPORTRANGE(""https://docs.google.com/spreadsheets/d/11923uPwbBZFjjGgGUA6NLw09EwE0CqkOc4q9oUmW1yo/edit?usp=sharing"",""พิษณุโลก!J166"")"),0)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IFERROR(__xludf.DUMMYFUNCTION("IMPORTRANGE(""https://docs.google.com/spreadsheets/d/11923uPwbBZFjjGgGUA6NLw09EwE0CqkOc4q9oUmW1yo/edit?usp=sharing"",""พิษณุโลก!I506"")"),50)</f>
        <v>50</v>
      </c>
      <c r="J611" s="170">
        <f ca="1">IFERROR(__xludf.DUMMYFUNCTION("IMPORTRANGE(""https://docs.google.com/spreadsheets/d/11923uPwbBZFjjGgGUA6NLw09EwE0CqkOc4q9oUmW1yo/edit?usp=sharing"",""พิษณุโลก!J506"")"),0)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IFERROR(__xludf.DUMMYFUNCTION("IMPORTRANGE(""https://docs.google.com/spreadsheets/d/11923uPwbBZFjjGgGUA6NLw09EwE0CqkOc4q9oUmW1yo/edit?usp=sharing"",""พิษณุโลก!I507"")"),0)</f>
        <v>0</v>
      </c>
      <c r="J612" s="207">
        <f ca="1">IFERROR(__xludf.DUMMYFUNCTION("IMPORTRANGE(""https://docs.google.com/spreadsheets/d/11923uPwbBZFjjGgGUA6NLw09EwE0CqkOc4q9oUmW1yo/edit?usp=sharing"",""พิษณุโลก!J507"")"),0)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IFERROR(__xludf.DUMMYFUNCTION("IMPORTRANGE(""https://docs.google.com/spreadsheets/d/11923uPwbBZFjjGgGUA6NLw09EwE0CqkOc4q9oUmW1yo/edit?usp=sharing"",""พิษณุโลก!I508"")"),0)</f>
        <v>0</v>
      </c>
      <c r="J613" s="207">
        <f ca="1">IFERROR(__xludf.DUMMYFUNCTION("IMPORTRANGE(""https://docs.google.com/spreadsheets/d/11923uPwbBZFjjGgGUA6NLw09EwE0CqkOc4q9oUmW1yo/edit?usp=sharing"",""พิษณุโลก!J508"")"),0)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IFERROR(__xludf.DUMMYFUNCTION("IMPORTRANGE(""https://docs.google.com/spreadsheets/d/11923uPwbBZFjjGgGUA6NLw09EwE0CqkOc4q9oUmW1yo/edit?usp=sharing"",""พิษณุโลก!I509"")"),0)</f>
        <v>0</v>
      </c>
      <c r="J614" s="207">
        <f ca="1">IFERROR(__xludf.DUMMYFUNCTION("IMPORTRANGE(""https://docs.google.com/spreadsheets/d/11923uPwbBZFjjGgGUA6NLw09EwE0CqkOc4q9oUmW1yo/edit?usp=sharing"",""พิษณุโลก!J509"")"),0)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IFERROR(__xludf.DUMMYFUNCTION("IMPORTRANGE(""https://docs.google.com/spreadsheets/d/11923uPwbBZFjjGgGUA6NLw09EwE0CqkOc4q9oUmW1yo/edit?usp=sharing"",""พิษณุโลก!I510"")"),0)</f>
        <v>0</v>
      </c>
      <c r="J615" s="207">
        <f ca="1">IFERROR(__xludf.DUMMYFUNCTION("IMPORTRANGE(""https://docs.google.com/spreadsheets/d/11923uPwbBZFjjGgGUA6NLw09EwE0CqkOc4q9oUmW1yo/edit?usp=sharing"",""พิษณุโลก!J510"")"),0)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IFERROR(__xludf.DUMMYFUNCTION("IMPORTRANGE(""https://docs.google.com/spreadsheets/d/11923uPwbBZFjjGgGUA6NLw09EwE0CqkOc4q9oUmW1yo/edit?usp=sharing"",""พิษณุโลก!I511"")"),0)</f>
        <v>0</v>
      </c>
      <c r="J616" s="207">
        <f ca="1">IFERROR(__xludf.DUMMYFUNCTION("IMPORTRANGE(""https://docs.google.com/spreadsheets/d/11923uPwbBZFjjGgGUA6NLw09EwE0CqkOc4q9oUmW1yo/edit?usp=sharing"",""พิษณุโลก!J511"")"),0)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IFERROR(__xludf.DUMMYFUNCTION("IMPORTRANGE(""https://docs.google.com/spreadsheets/d/11923uPwbBZFjjGgGUA6NLw09EwE0CqkOc4q9oUmW1yo/edit?usp=sharing"",""พิษณุโลก!I512"")"),0)</f>
        <v>0</v>
      </c>
      <c r="J617" s="197">
        <f ca="1">IFERROR(__xludf.DUMMYFUNCTION("IMPORTRANGE(""https://docs.google.com/spreadsheets/d/11923uPwbBZFjjGgGUA6NLw09EwE0CqkOc4q9oUmW1yo/edit?usp=sharing"",""พิษณุโลก!J512"")"),0)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IFERROR(__xludf.DUMMYFUNCTION("IMPORTRANGE(""https://docs.google.com/spreadsheets/d/11923uPwbBZFjjGgGUA6NLw09EwE0CqkOc4q9oUmW1yo/edit?usp=sharing"",""พิษณุโลก!I513"")"),0)</f>
        <v>0</v>
      </c>
      <c r="J618" s="198">
        <f ca="1">IFERROR(__xludf.DUMMYFUNCTION("IMPORTRANGE(""https://docs.google.com/spreadsheets/d/11923uPwbBZFjjGgGUA6NLw09EwE0CqkOc4q9oUmW1yo/edit?usp=sharing"",""พิษณุโลก!J513"")"),0)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IFERROR(__xludf.DUMMYFUNCTION("IMPORTRANGE(""https://docs.google.com/spreadsheets/d/11923uPwbBZFjjGgGUA6NLw09EwE0CqkOc4q9oUmW1yo/edit?usp=sharing"",""พิษณุโลก!I514"")"),0)</f>
        <v>0</v>
      </c>
      <c r="J619" s="198">
        <f ca="1">IFERROR(__xludf.DUMMYFUNCTION("IMPORTRANGE(""https://docs.google.com/spreadsheets/d/11923uPwbBZFjjGgGUA6NLw09EwE0CqkOc4q9oUmW1yo/edit?usp=sharing"",""พิษณุโลก!J514"")"),0)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IFERROR(__xludf.DUMMYFUNCTION("IMPORTRANGE(""https://docs.google.com/spreadsheets/d/11923uPwbBZFjjGgGUA6NLw09EwE0CqkOc4q9oUmW1yo/edit?usp=sharing"",""พิษณุโลก!I515"")"),32)</f>
        <v>32</v>
      </c>
      <c r="J620" s="212">
        <f ca="1">IFERROR(__xludf.DUMMYFUNCTION("IMPORTRANGE(""https://docs.google.com/spreadsheets/d/11923uPwbBZFjjGgGUA6NLw09EwE0CqkOc4q9oUmW1yo/edit?usp=sharing"",""พิษณุโลก!J515"")"),0)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IFERROR(__xludf.DUMMYFUNCTION("IMPORTRANGE(""https://docs.google.com/spreadsheets/d/11923uPwbBZFjjGgGUA6NLw09EwE0CqkOc4q9oUmW1yo/edit?usp=sharing"",""พิษณุโลก!I516"")"),0)</f>
        <v>0</v>
      </c>
      <c r="J621" s="212">
        <f ca="1">IFERROR(__xludf.DUMMYFUNCTION("IMPORTRANGE(""https://docs.google.com/spreadsheets/d/11923uPwbBZFjjGgGUA6NLw09EwE0CqkOc4q9oUmW1yo/edit?usp=sharing"",""พิษณุโลก!J516"")"),0)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IFERROR(__xludf.DUMMYFUNCTION("IMPORTRANGE(""https://docs.google.com/spreadsheets/d/11923uPwbBZFjjGgGUA6NLw09EwE0CqkOc4q9oUmW1yo/edit?usp=sharing"",""พิษณุโลก!I517"")"),0)</f>
        <v>0</v>
      </c>
      <c r="J622" s="198">
        <f ca="1">IFERROR(__xludf.DUMMYFUNCTION("IMPORTRANGE(""https://docs.google.com/spreadsheets/d/11923uPwbBZFjjGgGUA6NLw09EwE0CqkOc4q9oUmW1yo/edit?usp=sharing"",""พิษณุโลก!J517"")"),0)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IFERROR(__xludf.DUMMYFUNCTION("IMPORTRANGE(""https://docs.google.com/spreadsheets/d/11923uPwbBZFjjGgGUA6NLw09EwE0CqkOc4q9oUmW1yo/edit?usp=sharing"",""พิษณุโลก!I518"")"),0)</f>
        <v>0</v>
      </c>
      <c r="J623" s="198">
        <f ca="1">IFERROR(__xludf.DUMMYFUNCTION("IMPORTRANGE(""https://docs.google.com/spreadsheets/d/11923uPwbBZFjjGgGUA6NLw09EwE0CqkOc4q9oUmW1yo/edit?usp=sharing"",""พิษณุโลก!J518"")"),0)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IFERROR(__xludf.DUMMYFUNCTION("IMPORTRANGE(""https://docs.google.com/spreadsheets/d/11923uPwbBZFjjGgGUA6NLw09EwE0CqkOc4q9oUmW1yo/edit?usp=sharing"",""พิษณุโลก!I519"")"),0)</f>
        <v>0</v>
      </c>
      <c r="J624" s="197">
        <f ca="1">IFERROR(__xludf.DUMMYFUNCTION("IMPORTRANGE(""https://docs.google.com/spreadsheets/d/11923uPwbBZFjjGgGUA6NLw09EwE0CqkOc4q9oUmW1yo/edit?usp=sharing"",""พิษณุโลก!J519"")"),0)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IFERROR(__xludf.DUMMYFUNCTION("IMPORTRANGE(""https://docs.google.com/spreadsheets/d/11923uPwbBZFjjGgGUA6NLw09EwE0CqkOc4q9oUmW1yo/edit?usp=sharing"",""พิษณุโลก!I520"")"),0)</f>
        <v>0</v>
      </c>
      <c r="J625" s="198">
        <f ca="1">IFERROR(__xludf.DUMMYFUNCTION("IMPORTRANGE(""https://docs.google.com/spreadsheets/d/11923uPwbBZFjjGgGUA6NLw09EwE0CqkOc4q9oUmW1yo/edit?usp=sharing"",""พิษณุโลก!J520"")"),0)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IFERROR(__xludf.DUMMYFUNCTION("IMPORTRANGE(""https://docs.google.com/spreadsheets/d/11923uPwbBZFjjGgGUA6NLw09EwE0CqkOc4q9oUmW1yo/edit?usp=sharing"",""พิษณุโลก!I521"")"),0)</f>
        <v>0</v>
      </c>
      <c r="J626" s="198">
        <f ca="1">IFERROR(__xludf.DUMMYFUNCTION("IMPORTRANGE(""https://docs.google.com/spreadsheets/d/11923uPwbBZFjjGgGUA6NLw09EwE0CqkOc4q9oUmW1yo/edit?usp=sharing"",""พิษณุโลก!J521"")"),0)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49">
        <f ca="1">IFERROR(__xludf.DUMMYFUNCTION("IMPORTRANGE(""https://docs.google.com/spreadsheets/d/11923uPwbBZFjjGgGUA6NLw09EwE0CqkOc4q9oUmW1yo/edit?usp=sharing"",""พิษณุโลก!J523"")"),492814.83)</f>
        <v>492814.83</v>
      </c>
      <c r="K628" s="350">
        <f t="shared" ref="K628:K635" ca="1" si="129">IF(I628&gt;0,J628*100/I628,0)</f>
        <v>12.668101978380776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IFERROR(__xludf.DUMMYFUNCTION("IMPORTRANGE(""https://docs.google.com/spreadsheets/d/11923uPwbBZFjjGgGUA6NLw09EwE0CqkOc4q9oUmW1yo/edit?usp=sharing"",""พิษณุโลก!I524"")"),290)</f>
        <v>290</v>
      </c>
      <c r="J629" s="349">
        <f ca="1">IFERROR(__xludf.DUMMYFUNCTION("IMPORTRANGE(""https://docs.google.com/spreadsheets/d/11923uPwbBZFjjGgGUA6NLw09EwE0CqkOc4q9oUmW1yo/edit?usp=sharing"",""พิษณุโลก!J524"")"),32)</f>
        <v>32</v>
      </c>
      <c r="K629" s="350">
        <f t="shared" ca="1" si="129"/>
        <v>11.03448275862069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49">
        <f ca="1">IFERROR(__xludf.DUMMYFUNCTION("IMPORTRANGE(""https://docs.google.com/spreadsheets/d/11923uPwbBZFjjGgGUA6NLw09EwE0CqkOc4q9oUmW1yo/edit?usp=sharing"",""พิษณุโลก!J525"")"),256599.98)</f>
        <v>256599.98</v>
      </c>
      <c r="K630" s="350">
        <f t="shared" ca="1" si="129"/>
        <v>10.01665861020428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IFERROR(__xludf.DUMMYFUNCTION("IMPORTRANGE(""https://docs.google.com/spreadsheets/d/11923uPwbBZFjjGgGUA6NLw09EwE0CqkOc4q9oUmW1yo/edit?usp=sharing"",""พิษณุโลก!I526"")"),116)</f>
        <v>116</v>
      </c>
      <c r="J631" s="349">
        <f ca="1">IFERROR(__xludf.DUMMYFUNCTION("IMPORTRANGE(""https://docs.google.com/spreadsheets/d/11923uPwbBZFjjGgGUA6NLw09EwE0CqkOc4q9oUmW1yo/edit?usp=sharing"",""พิษณุโลก!J526"")"),72)</f>
        <v>72</v>
      </c>
      <c r="K631" s="350">
        <f t="shared" ca="1" si="129"/>
        <v>62.068965517241381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IFERROR(__xludf.DUMMYFUNCTION("IMPORTRANGE(""https://docs.google.com/spreadsheets/d/11923uPwbBZFjjGgGUA6NLw09EwE0CqkOc4q9oUmW1yo/edit?usp=sharing"",""พิษณุโลก!I527"")"),0)</f>
        <v>0</v>
      </c>
      <c r="J632" s="349">
        <f ca="1">IFERROR(__xludf.DUMMYFUNCTION("IMPORTRANGE(""https://docs.google.com/spreadsheets/d/11923uPwbBZFjjGgGUA6NLw09EwE0CqkOc4q9oUmW1yo/edit?usp=sharing"",""พิษณุโลก!J527"")"),0)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IFERROR(__xludf.DUMMYFUNCTION("IMPORTRANGE(""https://docs.google.com/spreadsheets/d/11923uPwbBZFjjGgGUA6NLw09EwE0CqkOc4q9oUmW1yo/edit?usp=sharing"",""พิษณุโลก!I528"")"),0)</f>
        <v>0</v>
      </c>
      <c r="J633" s="349">
        <f ca="1">IFERROR(__xludf.DUMMYFUNCTION("IMPORTRANGE(""https://docs.google.com/spreadsheets/d/11923uPwbBZFjjGgGUA6NLw09EwE0CqkOc4q9oUmW1yo/edit?usp=sharing"",""พิษณุโลก!J528"")"),0)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IFERROR(__xludf.DUMMYFUNCTION("IMPORTRANGE(""https://docs.google.com/spreadsheets/d/11923uPwbBZFjjGgGUA6NLw09EwE0CqkOc4q9oUmW1yo/edit?usp=sharing"",""พิษณุโลก!I529"")"),4000000)</f>
        <v>4000000</v>
      </c>
      <c r="J634" s="349">
        <f ca="1">IFERROR(__xludf.DUMMYFUNCTION("IMPORTRANGE(""https://docs.google.com/spreadsheets/d/11923uPwbBZFjjGgGUA6NLw09EwE0CqkOc4q9oUmW1yo/edit?usp=sharing"",""พิษณุโลก!J529"")"),0)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IFERROR(__xludf.DUMMYFUNCTION("IMPORTRANGE(""https://docs.google.com/spreadsheets/d/11923uPwbBZFjjGgGUA6NLw09EwE0CqkOc4q9oUmW1yo/edit?usp=sharing"",""พิษณุโลก!I530"")"),100)</f>
        <v>100</v>
      </c>
      <c r="J635" s="519">
        <f ca="1">IFERROR(__xludf.DUMMYFUNCTION("IMPORTRANGE(""https://docs.google.com/spreadsheets/d/11923uPwbBZFjjGgGUA6NLw09EwE0CqkOc4q9oUmW1yo/edit?usp=sharing"",""พิษณุโลก!J530"")"),0)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9" sqref="J9"/>
      <selection pane="bottomLeft" activeCell="J9" sqref="J9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8.83203125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256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7110761</v>
      </c>
      <c r="M8" s="25">
        <f t="shared" ca="1" si="0"/>
        <v>2048220</v>
      </c>
      <c r="N8" s="25">
        <f t="shared" ca="1" si="0"/>
        <v>2229436.96</v>
      </c>
      <c r="O8" s="24">
        <f t="shared" ref="O8:O16" ca="1" si="1">IF(L8&gt;0,N8*100/L8,0)</f>
        <v>31.353000895403461</v>
      </c>
      <c r="P8" s="24">
        <f t="shared" ref="P8:P16" ca="1" si="2">IF(M8&gt;0,N8*100/M8,0)</f>
        <v>108.84753395631328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7110761</v>
      </c>
      <c r="M10" s="32">
        <f t="shared" ca="1" si="4"/>
        <v>2048220</v>
      </c>
      <c r="N10" s="32">
        <f t="shared" ca="1" si="4"/>
        <v>2229436.96</v>
      </c>
      <c r="O10" s="31">
        <f t="shared" ca="1" si="1"/>
        <v>31.353000895403461</v>
      </c>
      <c r="P10" s="31">
        <f t="shared" ca="1" si="2"/>
        <v>108.84753395631328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6877461</v>
      </c>
      <c r="M12" s="40">
        <f t="shared" ca="1" si="6"/>
        <v>2048220</v>
      </c>
      <c r="N12" s="40">
        <f t="shared" ca="1" si="6"/>
        <v>1996136.96</v>
      </c>
      <c r="O12" s="40">
        <f t="shared" ca="1" si="1"/>
        <v>29.024329763556636</v>
      </c>
      <c r="P12" s="40">
        <f t="shared" ca="1" si="2"/>
        <v>97.457155969573577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1991600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4885861</v>
      </c>
      <c r="M14" s="40">
        <f t="shared" si="8"/>
        <v>0</v>
      </c>
      <c r="N14" s="40">
        <f t="shared" ca="1" si="8"/>
        <v>583922.96</v>
      </c>
      <c r="O14" s="43">
        <f t="shared" ca="1" si="1"/>
        <v>11.951280644291764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233300</v>
      </c>
      <c r="M16" s="40">
        <f t="shared" si="10"/>
        <v>0</v>
      </c>
      <c r="N16" s="40">
        <f t="shared" ca="1" si="10"/>
        <v>233300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3960805</v>
      </c>
      <c r="M18" s="25">
        <f t="shared" ca="1" si="11"/>
        <v>2048220</v>
      </c>
      <c r="N18" s="25">
        <f t="shared" ca="1" si="11"/>
        <v>1645514</v>
      </c>
      <c r="O18" s="24">
        <f t="shared" ref="O18:O20" ca="1" si="12">IF(L18&gt;0,N18*100/L18,0)</f>
        <v>41.544938465791674</v>
      </c>
      <c r="P18" s="24">
        <f t="shared" ref="P18:P26" ca="1" si="13">IF(M18&gt;0,N18*100/M18,0)</f>
        <v>80.338733143900555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3960805</v>
      </c>
      <c r="M20" s="32">
        <f t="shared" ca="1" si="15"/>
        <v>2048220</v>
      </c>
      <c r="N20" s="32">
        <f t="shared" ca="1" si="15"/>
        <v>1645514</v>
      </c>
      <c r="O20" s="31">
        <f t="shared" ca="1" si="12"/>
        <v>41.544938465791674</v>
      </c>
      <c r="P20" s="31">
        <f t="shared" ca="1" si="13"/>
        <v>80.338733143900555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3727505</v>
      </c>
      <c r="M22" s="44">
        <f t="shared" ca="1" si="18"/>
        <v>2048220</v>
      </c>
      <c r="N22" s="43">
        <f t="shared" ca="1" si="18"/>
        <v>1412214</v>
      </c>
      <c r="O22" s="43">
        <f t="shared" ca="1" si="17"/>
        <v>37.88630732889694</v>
      </c>
      <c r="P22" s="43">
        <f t="shared" ca="1" si="13"/>
        <v>68.948355157160847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1991600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1735905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233300</v>
      </c>
      <c r="M26" s="52">
        <f t="shared" si="22"/>
        <v>0</v>
      </c>
      <c r="N26" s="52">
        <f t="shared" ca="1" si="22"/>
        <v>233300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3149956</v>
      </c>
      <c r="M28" s="25">
        <f t="shared" si="23"/>
        <v>0</v>
      </c>
      <c r="N28" s="25">
        <f t="shared" ca="1" si="23"/>
        <v>583922.96</v>
      </c>
      <c r="O28" s="24">
        <f t="shared" ref="O28:O30" ca="1" si="24">IF(L28&gt;0,N28*100/L28,0)</f>
        <v>18.537495761845562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3149956</v>
      </c>
      <c r="M30" s="32">
        <f t="shared" si="27"/>
        <v>0</v>
      </c>
      <c r="N30" s="32">
        <f t="shared" ca="1" si="27"/>
        <v>583922.96</v>
      </c>
      <c r="O30" s="31">
        <f t="shared" ca="1" si="24"/>
        <v>18.537495761845562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3149956</v>
      </c>
      <c r="M32" s="43">
        <f t="shared" si="30"/>
        <v>0</v>
      </c>
      <c r="N32" s="43">
        <f t="shared" ca="1" si="30"/>
        <v>583922.96</v>
      </c>
      <c r="O32" s="43">
        <f t="shared" ca="1" si="29"/>
        <v>18.537495761845562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3149956</v>
      </c>
      <c r="M34" s="43">
        <f t="shared" si="32"/>
        <v>0</v>
      </c>
      <c r="N34" s="43">
        <f t="shared" ca="1" si="32"/>
        <v>583922.96</v>
      </c>
      <c r="O34" s="43">
        <f t="shared" ca="1" si="29"/>
        <v>18.537495761845562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3960805</v>
      </c>
      <c r="M37" s="57">
        <f t="shared" ca="1" si="33"/>
        <v>2048220</v>
      </c>
      <c r="N37" s="57">
        <f t="shared" ca="1" si="33"/>
        <v>1645514</v>
      </c>
      <c r="O37" s="58">
        <f t="shared" ca="1" si="29"/>
        <v>41.544938465791674</v>
      </c>
      <c r="P37" s="58">
        <f t="shared" ca="1" si="25"/>
        <v>80.338733143900555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978600</v>
      </c>
      <c r="M41" s="81">
        <f t="shared" ca="1" si="34"/>
        <v>405100</v>
      </c>
      <c r="N41" s="81">
        <f t="shared" ca="1" si="34"/>
        <v>438262</v>
      </c>
      <c r="O41" s="80">
        <f t="shared" ref="O41:O43" ca="1" si="35">IF(L41&gt;0,N41*100/L41,0)</f>
        <v>44.784590230942165</v>
      </c>
      <c r="P41" s="80">
        <f t="shared" ref="P41:P43" ca="1" si="36">IF(M41&gt;0,N41*100/M41,0)</f>
        <v>108.1861268822513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978600</v>
      </c>
      <c r="M43" s="81">
        <f t="shared" ca="1" si="38"/>
        <v>405100</v>
      </c>
      <c r="N43" s="81">
        <f t="shared" ca="1" si="38"/>
        <v>438262</v>
      </c>
      <c r="O43" s="80">
        <f t="shared" ca="1" si="35"/>
        <v>44.784590230942165</v>
      </c>
      <c r="P43" s="80">
        <f t="shared" ca="1" si="36"/>
        <v>108.1861268822513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810100</v>
      </c>
      <c r="M45" s="93">
        <f ca="1">IFERROR(__xludf.DUMMYFUNCTION("IMPORTRANGE(""https://docs.google.com/spreadsheets/d/1Yj_ptqi66GCucihVvJfMjLAmec39IyEx_6qawtMGysU/edit?usp=sharing"",""สบก!Q29"")"),405100)</f>
        <v>405100</v>
      </c>
      <c r="N45" s="93">
        <f ca="1">IFERROR(__xludf.DUMMYFUNCTION("IMPORTRANGE(""https://docs.google.com/spreadsheets/d/1Yj_ptqi66GCucihVvJfMjLAmec39IyEx_6qawtMGysU/edit?usp=sharing"",""สบก!R29"")"),269762)</f>
        <v>269762</v>
      </c>
      <c r="O45" s="94">
        <f ca="1">IF(L45&gt;0,N45*100/L45,0)</f>
        <v>33.299839525984446</v>
      </c>
      <c r="P45" s="94">
        <f ca="1">IF(M45&gt;0,N45*100/M45,0)</f>
        <v>66.591458899037278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IFERROR(__xludf.DUMMYFUNCTION("IMPORTRANGE(""https://docs.google.com/spreadsheets/d/1Yj_ptqi66GCucihVvJfMjLAmec39IyEx_6qawtMGysU/edit?usp=sharing"",""สบก!M29"")"),810100)</f>
        <v>810100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IFERROR(__xludf.DUMMYFUNCTION("IMPORTRANGE(""https://docs.google.com/spreadsheets/d/1Yj_ptqi66GCucihVvJfMjLAmec39IyEx_6qawtMGysU/edit?usp=sharing"",""สบก!N29"")"),0)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IFERROR(__xludf.DUMMYFUNCTION("IMPORTRANGE(""https://docs.google.com/spreadsheets/d/1Yj_ptqi66GCucihVvJfMjLAmec39IyEx_6qawtMGysU/edit?usp=sharing"",""สบก!O29"")"),168500)</f>
        <v>168500</v>
      </c>
      <c r="M49" s="103"/>
      <c r="N49" s="93">
        <f ca="1">IFERROR(__xludf.DUMMYFUNCTION("IMPORTRANGE(""https://docs.google.com/spreadsheets/d/1Yj_ptqi66GCucihVvJfMjLAmec39IyEx_6qawtMGysU/edit?usp=sharing"",""สบก!S29"")"),168500)</f>
        <v>168500</v>
      </c>
      <c r="O49" s="103">
        <f ca="1">IF(L49&gt;0,N49*100/L49,0)</f>
        <v>100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564000</v>
      </c>
      <c r="M53" s="127">
        <f t="shared" ca="1" si="39"/>
        <v>299325</v>
      </c>
      <c r="N53" s="127">
        <f t="shared" ca="1" si="39"/>
        <v>228011</v>
      </c>
      <c r="O53" s="126">
        <f t="shared" ref="O53:O55" ca="1" si="40">IF(L53&gt;0,N53*100/L53,0)</f>
        <v>40.42748226950355</v>
      </c>
      <c r="P53" s="126">
        <f t="shared" ref="P53:P55" ca="1" si="41">IF(M53&gt;0,N53*100/M53,0)</f>
        <v>76.175060552910722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564000</v>
      </c>
      <c r="M55" s="127">
        <f t="shared" ca="1" si="43"/>
        <v>299325</v>
      </c>
      <c r="N55" s="127">
        <f t="shared" ca="1" si="43"/>
        <v>228011</v>
      </c>
      <c r="O55" s="126">
        <f t="shared" ca="1" si="40"/>
        <v>40.42748226950355</v>
      </c>
      <c r="P55" s="126">
        <f t="shared" ca="1" si="41"/>
        <v>76.175060552910722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564000</v>
      </c>
      <c r="M57" s="93">
        <f ca="1">IFERROR(__xludf.DUMMYFUNCTION("IMPORTRANGE(""https://docs.google.com/spreadsheets/d/1Yj_ptqi66GCucihVvJfMjLAmec39IyEx_6qawtMGysU/edit?usp=sharing"",""สบก!Z29"")"),299325)</f>
        <v>299325</v>
      </c>
      <c r="N57" s="93">
        <f ca="1">IFERROR(__xludf.DUMMYFUNCTION("IMPORTRANGE(""https://docs.google.com/spreadsheets/d/1Yj_ptqi66GCucihVvJfMjLAmec39IyEx_6qawtMGysU/edit?usp=sharing"",""สบก!AA29"")"),228011)</f>
        <v>228011</v>
      </c>
      <c r="O57" s="94">
        <f ca="1">IF(L57&gt;0,N57*100/L57,0)</f>
        <v>40.42748226950355</v>
      </c>
      <c r="P57" s="94">
        <f ca="1">IF(M57&gt;0,N57*100/M57,0)</f>
        <v>76.175060552910722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IFERROR(__xludf.DUMMYFUNCTION("IMPORTRANGE(""https://docs.google.com/spreadsheets/d/1Yj_ptqi66GCucihVvJfMjLAmec39IyEx_6qawtMGysU/edit?usp=sharing"",""สบก!V29"")"),564000)</f>
        <v>564000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IFERROR(__xludf.DUMMYFUNCTION("IMPORTRANGE(""https://docs.google.com/spreadsheets/d/1Yj_ptqi66GCucihVvJfMjLAmec39IyEx_6qawtMGysU/edit?usp=sharing"",""สบก!W29"")"),0)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IFERROR(__xludf.DUMMYFUNCTION("IMPORTRANGE(""https://docs.google.com/spreadsheets/d/1Yj_ptqi66GCucihVvJfMjLAmec39IyEx_6qawtMGysU/edit?usp=sharing"",""สบก!X29"")"),0)</f>
        <v>0</v>
      </c>
      <c r="M61" s="103"/>
      <c r="N61" s="93">
        <f ca="1">IFERROR(__xludf.DUMMYFUNCTION("IMPORTRANGE(""https://docs.google.com/spreadsheets/d/1Yj_ptqi66GCucihVvJfMjLAmec39IyEx_6qawtMGysU/edit?usp=sharing"",""สบก!AB29"")"),0)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IFERROR(__xludf.DUMMYFUNCTION("IMPORTRANGE(""https://docs.google.com/spreadsheets/d/11923uPwbBZFjjGgGUA6NLw09EwE0CqkOc4q9oUmW1yo/edit?usp=sharing"",""เพชรบูรณ์!I9"")"),1)</f>
        <v>1</v>
      </c>
      <c r="J64" s="148">
        <f ca="1">IFERROR(__xludf.DUMMYFUNCTION("IMPORTRANGE(""https://docs.google.com/spreadsheets/d/11923uPwbBZFjjGgGUA6NLw09EwE0CqkOc4q9oUmW1yo/edit?usp=sharing"",""เพชรบูรณ์!J9"")"),1)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IFERROR(__xludf.DUMMYFUNCTION("IMPORTRANGE(""https://docs.google.com/spreadsheets/d/11923uPwbBZFjjGgGUA6NLw09EwE0CqkOc4q9oUmW1yo/edit?usp=sharing"",""เพชรบูรณ์!I10"")"),35)</f>
        <v>35</v>
      </c>
      <c r="J65" s="148">
        <f ca="1">IFERROR(__xludf.DUMMYFUNCTION("IMPORTRANGE(""https://docs.google.com/spreadsheets/d/11923uPwbBZFjjGgGUA6NLw09EwE0CqkOc4q9oUmW1yo/edit?usp=sharing"",""เพชรบูรณ์!J10"")"),35)</f>
        <v>35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577500</v>
      </c>
      <c r="M66" s="158">
        <f t="shared" ca="1" si="45"/>
        <v>325420</v>
      </c>
      <c r="N66" s="158">
        <f t="shared" ca="1" si="45"/>
        <v>207439</v>
      </c>
      <c r="O66" s="157">
        <f t="shared" ref="O66:O68" ca="1" si="46">IF(L66&gt;0,N66*100/L66,0)</f>
        <v>35.920173160173157</v>
      </c>
      <c r="P66" s="157">
        <f t="shared" ref="P66:P68" ca="1" si="47">IF(M66&gt;0,N66*100/M66,0)</f>
        <v>63.74500645319894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577500</v>
      </c>
      <c r="M68" s="163">
        <f t="shared" ca="1" si="49"/>
        <v>325420</v>
      </c>
      <c r="N68" s="163">
        <f t="shared" ca="1" si="49"/>
        <v>207439</v>
      </c>
      <c r="O68" s="162">
        <f t="shared" ca="1" si="46"/>
        <v>35.920173160173157</v>
      </c>
      <c r="P68" s="162">
        <f t="shared" ca="1" si="47"/>
        <v>63.74500645319894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577500</v>
      </c>
      <c r="M70" s="176">
        <f ca="1">IFERROR(__xludf.DUMMYFUNCTION("IMPORTRANGE(""https://docs.google.com/spreadsheets/d/1Yj_ptqi66GCucihVvJfMjLAmec39IyEx_6qawtMGysU/edit?usp=sharing"",""สบก!AI29"")"),325420)</f>
        <v>325420</v>
      </c>
      <c r="N70" s="177">
        <f ca="1">IFERROR(__xludf.DUMMYFUNCTION("IMPORTRANGE(""https://docs.google.com/spreadsheets/d/1Yj_ptqi66GCucihVvJfMjLAmec39IyEx_6qawtMGysU/edit?usp=sharing"",""สบก!AJ29"")"),207439)</f>
        <v>207439</v>
      </c>
      <c r="O70" s="178">
        <f ca="1">IF(L70&gt;0,N70*100/L70,0)</f>
        <v>35.920173160173157</v>
      </c>
      <c r="P70" s="178">
        <f ca="1">IF(M70&gt;0,N70*100/M70,0)</f>
        <v>63.74500645319894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IFERROR(__xludf.DUMMYFUNCTION("IMPORTRANGE(""https://docs.google.com/spreadsheets/d/1Yj_ptqi66GCucihVvJfMjLAmec39IyEx_6qawtMGysU/edit?usp=sharing"",""สบก!AE29"")"),179500)</f>
        <v>179500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IFERROR(__xludf.DUMMYFUNCTION("IMPORTRANGE(""https://docs.google.com/spreadsheets/d/1Yj_ptqi66GCucihVvJfMjLAmec39IyEx_6qawtMGysU/edit?usp=sharing"",""สบก!AF29"")"),398000)</f>
        <v>398000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IFERROR(__xludf.DUMMYFUNCTION("IMPORTRANGE(""https://docs.google.com/spreadsheets/d/1Yj_ptqi66GCucihVvJfMjLAmec39IyEx_6qawtMGysU/edit?usp=sharing"",""สบก!AG29"")"),0)</f>
        <v>0</v>
      </c>
      <c r="M74" s="103"/>
      <c r="N74" s="93">
        <f ca="1">IFERROR(__xludf.DUMMYFUNCTION("IMPORTRANGE(""https://docs.google.com/spreadsheets/d/1Yj_ptqi66GCucihVvJfMjLAmec39IyEx_6qawtMGysU/edit?usp=sharing"",""สบก!AK29"")"),0)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IFERROR(__xludf.DUMMYFUNCTION("IMPORTRANGE(""https://docs.google.com/spreadsheets/d/11923uPwbBZFjjGgGUA6NLw09EwE0CqkOc4q9oUmW1yo/edit?usp=sharing"",""เพชรบูรณ์!J16"")"),0)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IFERROR(__xludf.DUMMYFUNCTION("IMPORTRANGE(""https://docs.google.com/spreadsheets/d/11923uPwbBZFjjGgGUA6NLw09EwE0CqkOc4q9oUmW1yo/edit?usp=sharing"",""เพชรบูรณ์!J17"")"),1)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IFERROR(__xludf.DUMMYFUNCTION("IMPORTRANGE(""https://docs.google.com/spreadsheets/d/11923uPwbBZFjjGgGUA6NLw09EwE0CqkOc4q9oUmW1yo/edit?usp=sharing"",""เพชรบูรณ์!J18"")"),1)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IFERROR(__xludf.DUMMYFUNCTION("IMPORTRANGE(""https://docs.google.com/spreadsheets/d/11923uPwbBZFjjGgGUA6NLw09EwE0CqkOc4q9oUmW1yo/edit?usp=sharing"",""เพชรบูรณ์!J19"")"),1)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IFERROR(__xludf.DUMMYFUNCTION("IMPORTRANGE(""https://docs.google.com/spreadsheets/d/11923uPwbBZFjjGgGUA6NLw09EwE0CqkOc4q9oUmW1yo/edit?usp=sharing"",""เพชรบูรณ์!I20"")"),1)</f>
        <v>1</v>
      </c>
      <c r="J80" s="210">
        <f ca="1">IFERROR(__xludf.DUMMYFUNCTION("IMPORTRANGE(""https://docs.google.com/spreadsheets/d/11923uPwbBZFjjGgGUA6NLw09EwE0CqkOc4q9oUmW1yo/edit?usp=sharing"",""เพชรบูรณ์!J20"")"),1)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IFERROR(__xludf.DUMMYFUNCTION("IMPORTRANGE(""https://docs.google.com/spreadsheets/d/11923uPwbBZFjjGgGUA6NLw09EwE0CqkOc4q9oUmW1yo/edit?usp=sharing"",""เพชรบูรณ์!I21"")"),35)</f>
        <v>35</v>
      </c>
      <c r="J81" s="210">
        <f ca="1">IFERROR(__xludf.DUMMYFUNCTION("IMPORTRANGE(""https://docs.google.com/spreadsheets/d/11923uPwbBZFjjGgGUA6NLw09EwE0CqkOc4q9oUmW1yo/edit?usp=sharing"",""เพชรบูรณ์!J21"")"),35)</f>
        <v>35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IFERROR(__xludf.DUMMYFUNCTION("IMPORTRANGE(""https://docs.google.com/spreadsheets/d/11923uPwbBZFjjGgGUA6NLw09EwE0CqkOc4q9oUmW1yo/edit?usp=sharing"",""เพชรบูรณ์!I22"")"),0)</f>
        <v>0</v>
      </c>
      <c r="J82" s="213">
        <f ca="1">IFERROR(__xludf.DUMMYFUNCTION("IMPORTRANGE(""https://docs.google.com/spreadsheets/d/11923uPwbBZFjjGgGUA6NLw09EwE0CqkOc4q9oUmW1yo/edit?usp=sharing"",""เพชรบูรณ์!J22"")"),0)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IFERROR(__xludf.DUMMYFUNCTION("IMPORTRANGE(""https://docs.google.com/spreadsheets/d/11923uPwbBZFjjGgGUA6NLw09EwE0CqkOc4q9oUmW1yo/edit?usp=sharing"",""เพชรบูรณ์!I23"")"),0)</f>
        <v>0</v>
      </c>
      <c r="J83" s="213">
        <f ca="1">IFERROR(__xludf.DUMMYFUNCTION("IMPORTRANGE(""https://docs.google.com/spreadsheets/d/11923uPwbBZFjjGgGUA6NLw09EwE0CqkOc4q9oUmW1yo/edit?usp=sharing"",""เพชรบูรณ์!J23"")"),0)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IFERROR(__xludf.DUMMYFUNCTION("IMPORTRANGE(""https://docs.google.com/spreadsheets/d/11923uPwbBZFjjGgGUA6NLw09EwE0CqkOc4q9oUmW1yo/edit?usp=sharing"",""เพชรบูรณ์!I24"")"),1)</f>
        <v>1</v>
      </c>
      <c r="J84" s="198">
        <f ca="1">IFERROR(__xludf.DUMMYFUNCTION("IMPORTRANGE(""https://docs.google.com/spreadsheets/d/11923uPwbBZFjjGgGUA6NLw09EwE0CqkOc4q9oUmW1yo/edit?usp=sharing"",""เพชรบูรณ์!J24"")"),1)</f>
        <v>1</v>
      </c>
      <c r="K84" s="171">
        <f t="shared" ca="1" si="50"/>
        <v>100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IFERROR(__xludf.DUMMYFUNCTION("IMPORTRANGE(""https://docs.google.com/spreadsheets/d/11923uPwbBZFjjGgGUA6NLw09EwE0CqkOc4q9oUmW1yo/edit?usp=sharing"",""เพชรบูรณ์!I25"")"),35)</f>
        <v>35</v>
      </c>
      <c r="J85" s="198">
        <f ca="1">IFERROR(__xludf.DUMMYFUNCTION("IMPORTRANGE(""https://docs.google.com/spreadsheets/d/11923uPwbBZFjjGgGUA6NLw09EwE0CqkOc4q9oUmW1yo/edit?usp=sharing"",""เพชรบูรณ์!J25"")"),35)</f>
        <v>35</v>
      </c>
      <c r="K85" s="171">
        <f t="shared" ca="1" si="50"/>
        <v>100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IFERROR(__xludf.DUMMYFUNCTION("IMPORTRANGE(""https://docs.google.com/spreadsheets/d/11923uPwbBZFjjGgGUA6NLw09EwE0CqkOc4q9oUmW1yo/edit?usp=sharing"",""เพชรบูรณ์!I26"")"),0)</f>
        <v>0</v>
      </c>
      <c r="J86" s="213">
        <f ca="1">IFERROR(__xludf.DUMMYFUNCTION("IMPORTRANGE(""https://docs.google.com/spreadsheets/d/11923uPwbBZFjjGgGUA6NLw09EwE0CqkOc4q9oUmW1yo/edit?usp=sharing"",""เพชรบูรณ์!J26"")"),0)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IFERROR(__xludf.DUMMYFUNCTION("IMPORTRANGE(""https://docs.google.com/spreadsheets/d/11923uPwbBZFjjGgGUA6NLw09EwE0CqkOc4q9oUmW1yo/edit?usp=sharing"",""เพชรบูรณ์!I27"")"),0)</f>
        <v>0</v>
      </c>
      <c r="J87" s="213">
        <f ca="1">IFERROR(__xludf.DUMMYFUNCTION("IMPORTRANGE(""https://docs.google.com/spreadsheets/d/11923uPwbBZFjjGgGUA6NLw09EwE0CqkOc4q9oUmW1yo/edit?usp=sharing"",""เพชรบูรณ์!J27"")"),0)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IFERROR(__xludf.DUMMYFUNCTION("IMPORTRANGE(""https://docs.google.com/spreadsheets/d/11923uPwbBZFjjGgGUA6NLw09EwE0CqkOc4q9oUmW1yo/edit?usp=sharing"",""เพชรบูรณ์!I28"")"),0)</f>
        <v>0</v>
      </c>
      <c r="J88" s="213">
        <f ca="1">IFERROR(__xludf.DUMMYFUNCTION("IMPORTRANGE(""https://docs.google.com/spreadsheets/d/11923uPwbBZFjjGgGUA6NLw09EwE0CqkOc4q9oUmW1yo/edit?usp=sharing"",""เพชรบูรณ์!J28"")"),0)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IFERROR(__xludf.DUMMYFUNCTION("IMPORTRANGE(""https://docs.google.com/spreadsheets/d/11923uPwbBZFjjGgGUA6NLw09EwE0CqkOc4q9oUmW1yo/edit?usp=sharing"",""เพชรบูรณ์!J29"")"),0)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IFERROR(__xludf.DUMMYFUNCTION("IMPORTRANGE(""https://docs.google.com/spreadsheets/d/11923uPwbBZFjjGgGUA6NLw09EwE0CqkOc4q9oUmW1yo/edit?usp=sharing"",""เพชรบูรณ์!J30"")"),0)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IFERROR(__xludf.DUMMYFUNCTION("IMPORTRANGE(""https://docs.google.com/spreadsheets/d/11923uPwbBZFjjGgGUA6NLw09EwE0CqkOc4q9oUmW1yo/edit?usp=sharing"",""เพชรบูรณ์!I32"")"),0)</f>
        <v>0</v>
      </c>
      <c r="J92" s="148">
        <f ca="1">IFERROR(__xludf.DUMMYFUNCTION("IMPORTRANGE(""https://docs.google.com/spreadsheets/d/11923uPwbBZFjjGgGUA6NLw09EwE0CqkOc4q9oUmW1yo/edit?usp=sharing"",""เพชรบูรณ์!J32"")"),0)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IFERROR(__xludf.DUMMYFUNCTION("IMPORTRANGE(""https://docs.google.com/spreadsheets/d/11923uPwbBZFjjGgGUA6NLw09EwE0CqkOc4q9oUmW1yo/edit?usp=sharing"",""เพชรบูรณ์!I33"")"),0)</f>
        <v>0</v>
      </c>
      <c r="J93" s="148">
        <f ca="1">IFERROR(__xludf.DUMMYFUNCTION("IMPORTRANGE(""https://docs.google.com/spreadsheets/d/11923uPwbBZFjjGgGUA6NLw09EwE0CqkOc4q9oUmW1yo/edit?usp=sharing"",""เพชรบูรณ์!J33"")"),0)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IFERROR(__xludf.DUMMYFUNCTION("IMPORTRANGE(""https://docs.google.com/spreadsheets/d/1Yj_ptqi66GCucihVvJfMjLAmec39IyEx_6qawtMGysU/edit?usp=sharing"",""สบก!AR29"")"),0)</f>
        <v>0</v>
      </c>
      <c r="N98" s="177">
        <f ca="1">IFERROR(__xludf.DUMMYFUNCTION("IMPORTRANGE(""https://docs.google.com/spreadsheets/d/1Yj_ptqi66GCucihVvJfMjLAmec39IyEx_6qawtMGysU/edit?usp=sharing"",""สบก!AS29"")"),0)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IFERROR(__xludf.DUMMYFUNCTION("IMPORTRANGE(""https://docs.google.com/spreadsheets/d/1Yj_ptqi66GCucihVvJfMjLAmec39IyEx_6qawtMGysU/edit?usp=sharing"",""สบก!AN29"")"),0)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IFERROR(__xludf.DUMMYFUNCTION("IMPORTRANGE(""https://docs.google.com/spreadsheets/d/1Yj_ptqi66GCucihVvJfMjLAmec39IyEx_6qawtMGysU/edit?usp=sharing"",""สบก!AO29"")"),0)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IFERROR(__xludf.DUMMYFUNCTION("IMPORTRANGE(""https://docs.google.com/spreadsheets/d/1Yj_ptqi66GCucihVvJfMjLAmec39IyEx_6qawtMGysU/edit?usp=sharing"",""สบก!AP29"")"),0)</f>
        <v>0</v>
      </c>
      <c r="M102" s="103"/>
      <c r="N102" s="93">
        <f ca="1">IFERROR(__xludf.DUMMYFUNCTION("IMPORTRANGE(""https://docs.google.com/spreadsheets/d/1Yj_ptqi66GCucihVvJfMjLAmec39IyEx_6qawtMGysU/edit?usp=sharing"",""สบก!AT29"")"),0)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IFERROR(__xludf.DUMMYFUNCTION("IMPORTRANGE(""https://docs.google.com/spreadsheets/d/11923uPwbBZFjjGgGUA6NLw09EwE0CqkOc4q9oUmW1yo/edit?usp=sharing"",""เพชรบูรณ์!J39"")"),0)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IFERROR(__xludf.DUMMYFUNCTION("IMPORTRANGE(""https://docs.google.com/spreadsheets/d/11923uPwbBZFjjGgGUA6NLw09EwE0CqkOc4q9oUmW1yo/edit?usp=sharing"",""เพชรบูรณ์!J40"")"),0)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IFERROR(__xludf.DUMMYFUNCTION("IMPORTRANGE(""https://docs.google.com/spreadsheets/d/11923uPwbBZFjjGgGUA6NLw09EwE0CqkOc4q9oUmW1yo/edit?usp=sharing"",""เพชรบูรณ์!J41"")"),0)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IFERROR(__xludf.DUMMYFUNCTION("IMPORTRANGE(""https://docs.google.com/spreadsheets/d/11923uPwbBZFjjGgGUA6NLw09EwE0CqkOc4q9oUmW1yo/edit?usp=sharing"",""เพชรบูรณ์!J42"")"),0)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IFERROR(__xludf.DUMMYFUNCTION("IMPORTRANGE(""https://docs.google.com/spreadsheets/d/11923uPwbBZFjjGgGUA6NLw09EwE0CqkOc4q9oUmW1yo/edit?usp=sharing"",""เพชรบูรณ์!I43"")"),0)</f>
        <v>0</v>
      </c>
      <c r="J108" s="213">
        <f ca="1">IFERROR(__xludf.DUMMYFUNCTION("IMPORTRANGE(""https://docs.google.com/spreadsheets/d/11923uPwbBZFjjGgGUA6NLw09EwE0CqkOc4q9oUmW1yo/edit?usp=sharing"",""เพชรบูรณ์!J43"")"),0)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IFERROR(__xludf.DUMMYFUNCTION("IMPORTRANGE(""https://docs.google.com/spreadsheets/d/11923uPwbBZFjjGgGUA6NLw09EwE0CqkOc4q9oUmW1yo/edit?usp=sharing"",""เพชรบูรณ์!I44"")"),0)</f>
        <v>0</v>
      </c>
      <c r="J109" s="213">
        <f ca="1">IFERROR(__xludf.DUMMYFUNCTION("IMPORTRANGE(""https://docs.google.com/spreadsheets/d/11923uPwbBZFjjGgGUA6NLw09EwE0CqkOc4q9oUmW1yo/edit?usp=sharing"",""เพชรบูรณ์!J44"")"),0)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IFERROR(__xludf.DUMMYFUNCTION("IMPORTRANGE(""https://docs.google.com/spreadsheets/d/11923uPwbBZFjjGgGUA6NLw09EwE0CqkOc4q9oUmW1yo/edit?usp=sharing"",""เพชรบูรณ์!I45"")"),0)</f>
        <v>0</v>
      </c>
      <c r="J110" s="213">
        <f ca="1">IFERROR(__xludf.DUMMYFUNCTION("IMPORTRANGE(""https://docs.google.com/spreadsheets/d/11923uPwbBZFjjGgGUA6NLw09EwE0CqkOc4q9oUmW1yo/edit?usp=sharing"",""เพชรบูรณ์!J45"")"),0)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IFERROR(__xludf.DUMMYFUNCTION("IMPORTRANGE(""https://docs.google.com/spreadsheets/d/11923uPwbBZFjjGgGUA6NLw09EwE0CqkOc4q9oUmW1yo/edit?usp=sharing"",""เพชรบูรณ์!I46"")"),0)</f>
        <v>0</v>
      </c>
      <c r="J111" s="213">
        <f ca="1">IFERROR(__xludf.DUMMYFUNCTION("IMPORTRANGE(""https://docs.google.com/spreadsheets/d/11923uPwbBZFjjGgGUA6NLw09EwE0CqkOc4q9oUmW1yo/edit?usp=sharing"",""เพชรบูรณ์!J46"")"),0)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IFERROR(__xludf.DUMMYFUNCTION("IMPORTRANGE(""https://docs.google.com/spreadsheets/d/11923uPwbBZFjjGgGUA6NLw09EwE0CqkOc4q9oUmW1yo/edit?usp=sharing"",""เพชรบูรณ์!I47"")"),0)</f>
        <v>0</v>
      </c>
      <c r="J112" s="213">
        <f ca="1">IFERROR(__xludf.DUMMYFUNCTION("IMPORTRANGE(""https://docs.google.com/spreadsheets/d/11923uPwbBZFjjGgGUA6NLw09EwE0CqkOc4q9oUmW1yo/edit?usp=sharing"",""เพชรบูรณ์!J47"")"),0)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IFERROR(__xludf.DUMMYFUNCTION("IMPORTRANGE(""https://docs.google.com/spreadsheets/d/11923uPwbBZFjjGgGUA6NLw09EwE0CqkOc4q9oUmW1yo/edit?usp=sharing"",""เพชรบูรณ์!I48"")"),0)</f>
        <v>0</v>
      </c>
      <c r="J113" s="213">
        <f ca="1">IFERROR(__xludf.DUMMYFUNCTION("IMPORTRANGE(""https://docs.google.com/spreadsheets/d/11923uPwbBZFjjGgGUA6NLw09EwE0CqkOc4q9oUmW1yo/edit?usp=sharing"",""เพชรบูรณ์!J48"")"),0)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IFERROR(__xludf.DUMMYFUNCTION("IMPORTRANGE(""https://docs.google.com/spreadsheets/d/11923uPwbBZFjjGgGUA6NLw09EwE0CqkOc4q9oUmW1yo/edit?usp=sharing"",""เพชรบูรณ์!J49"")"),0)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IFERROR(__xludf.DUMMYFUNCTION("IMPORTRANGE(""https://docs.google.com/spreadsheets/d/11923uPwbBZFjjGgGUA6NLw09EwE0CqkOc4q9oUmW1yo/edit?usp=sharing"",""เพชรบูรณ์!J50"")"),0)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IFERROR(__xludf.DUMMYFUNCTION("IMPORTRANGE(""https://docs.google.com/spreadsheets/d/11923uPwbBZFjjGgGUA6NLw09EwE0CqkOc4q9oUmW1yo/edit?usp=sharing"",""เพชรบูรณ์!I52"")"),20)</f>
        <v>20</v>
      </c>
      <c r="J117" s="148">
        <f ca="1">IFERROR(__xludf.DUMMYFUNCTION("IMPORTRANGE(""https://docs.google.com/spreadsheets/d/11923uPwbBZFjjGgGUA6NLw09EwE0CqkOc4q9oUmW1yo/edit?usp=sharing"",""เพชรบูรณ์!J52"")"),20)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58830</v>
      </c>
      <c r="O118" s="157">
        <f t="shared" ref="O118:O120" ca="1" si="59">IF(L118&gt;0,N118*100/L118,0)</f>
        <v>71.360989810771471</v>
      </c>
      <c r="P118" s="157">
        <f t="shared" ref="P118:P120" ca="1" si="60">IF(M118&gt;0,N118*100/M118,0)</f>
        <v>88.546056592414203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58830</v>
      </c>
      <c r="O120" s="162">
        <f t="shared" ca="1" si="59"/>
        <v>71.360989810771471</v>
      </c>
      <c r="P120" s="162">
        <f t="shared" ca="1" si="60"/>
        <v>88.546056592414203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IFERROR(__xludf.DUMMYFUNCTION("IMPORTRANGE(""https://docs.google.com/spreadsheets/d/1Yj_ptqi66GCucihVvJfMjLAmec39IyEx_6qawtMGysU/edit?usp=sharing"",""สบก!BA29"")"),66440)</f>
        <v>66440</v>
      </c>
      <c r="N122" s="177">
        <f ca="1">IFERROR(__xludf.DUMMYFUNCTION("IMPORTRANGE(""https://docs.google.com/spreadsheets/d/1Yj_ptqi66GCucihVvJfMjLAmec39IyEx_6qawtMGysU/edit?usp=sharing"",""สบก!BB29"")"),58830)</f>
        <v>58830</v>
      </c>
      <c r="O122" s="178">
        <f ca="1">IF(L122&gt;0,N122*100/L122,0)</f>
        <v>71.360989810771471</v>
      </c>
      <c r="P122" s="178">
        <f ca="1">IF(M122&gt;0,N122*100/M122,0)</f>
        <v>88.546056592414203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IFERROR(__xludf.DUMMYFUNCTION("IMPORTRANGE(""https://docs.google.com/spreadsheets/d/1Yj_ptqi66GCucihVvJfMjLAmec39IyEx_6qawtMGysU/edit?usp=sharing"",""สบก!AW29"")"),0)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IFERROR(__xludf.DUMMYFUNCTION("IMPORTRANGE(""https://docs.google.com/spreadsheets/d/1Yj_ptqi66GCucihVvJfMjLAmec39IyEx_6qawtMGysU/edit?usp=sharing"",""สบก!AX29"")"),82440)</f>
        <v>82440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IFERROR(__xludf.DUMMYFUNCTION("IMPORTRANGE(""https://docs.google.com/spreadsheets/d/1Yj_ptqi66GCucihVvJfMjLAmec39IyEx_6qawtMGysU/edit?usp=sharing"",""สบก!AY29"")"),0)</f>
        <v>0</v>
      </c>
      <c r="M126" s="103"/>
      <c r="N126" s="93">
        <f ca="1">IFERROR(__xludf.DUMMYFUNCTION("IMPORTRANGE(""https://docs.google.com/spreadsheets/d/1Yj_ptqi66GCucihVvJfMjLAmec39IyEx_6qawtMGysU/edit?usp=sharing"",""สบก!BC29"")"),0)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257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IFERROR(__xludf.DUMMYFUNCTION("IMPORTRANGE(""https://docs.google.com/spreadsheets/d/11923uPwbBZFjjGgGUA6NLw09EwE0CqkOc4q9oUmW1yo/edit?usp=sharing"",""เพชรบูรณ์!J58"")"),0)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IFERROR(__xludf.DUMMYFUNCTION("IMPORTRANGE(""https://docs.google.com/spreadsheets/d/11923uPwbBZFjjGgGUA6NLw09EwE0CqkOc4q9oUmW1yo/edit?usp=sharing"",""เพชรบูรณ์!J59"")"),1)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IFERROR(__xludf.DUMMYFUNCTION("IMPORTRANGE(""https://docs.google.com/spreadsheets/d/11923uPwbBZFjjGgGUA6NLw09EwE0CqkOc4q9oUmW1yo/edit?usp=sharing"",""เพชรบูรณ์!J60"")"),1)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IFERROR(__xludf.DUMMYFUNCTION("IMPORTRANGE(""https://docs.google.com/spreadsheets/d/11923uPwbBZFjjGgGUA6NLw09EwE0CqkOc4q9oUmW1yo/edit?usp=sharing"",""เพชรบูรณ์!J61"")"),0)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IFERROR(__xludf.DUMMYFUNCTION("IMPORTRANGE(""https://docs.google.com/spreadsheets/d/11923uPwbBZFjjGgGUA6NLw09EwE0CqkOc4q9oUmW1yo/edit?usp=sharing"",""เพชรบูรณ์!I62"")"),20)</f>
        <v>20</v>
      </c>
      <c r="J132" s="213">
        <f ca="1">IFERROR(__xludf.DUMMYFUNCTION("IMPORTRANGE(""https://docs.google.com/spreadsheets/d/11923uPwbBZFjjGgGUA6NLw09EwE0CqkOc4q9oUmW1yo/edit?usp=sharing"",""เพชรบูรณ์!J62"")"),20)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IFERROR(__xludf.DUMMYFUNCTION("IMPORTRANGE(""https://docs.google.com/spreadsheets/d/11923uPwbBZFjjGgGUA6NLw09EwE0CqkOc4q9oUmW1yo/edit?usp=sharing"",""เพชรบูรณ์!I63"")"),20)</f>
        <v>20</v>
      </c>
      <c r="J133" s="213">
        <f ca="1">IFERROR(__xludf.DUMMYFUNCTION("IMPORTRANGE(""https://docs.google.com/spreadsheets/d/11923uPwbBZFjjGgGUA6NLw09EwE0CqkOc4q9oUmW1yo/edit?usp=sharing"",""เพชรบูรณ์!J63"")"),20)</f>
        <v>20</v>
      </c>
      <c r="K133" s="233">
        <f t="shared" ca="1" si="63"/>
        <v>100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IFERROR(__xludf.DUMMYFUNCTION("IMPORTRANGE(""https://docs.google.com/spreadsheets/d/11923uPwbBZFjjGgGUA6NLw09EwE0CqkOc4q9oUmW1yo/edit?usp=sharing"",""เพชรบูรณ์!J64"")"),0)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IFERROR(__xludf.DUMMYFUNCTION("IMPORTRANGE(""https://docs.google.com/spreadsheets/d/11923uPwbBZFjjGgGUA6NLw09EwE0CqkOc4q9oUmW1yo/edit?usp=sharing"",""เพชรบูรณ์!J65"")"),0)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IFERROR(__xludf.DUMMYFUNCTION("IMPORTRANGE(""https://docs.google.com/spreadsheets/d/11923uPwbBZFjjGgGUA6NLw09EwE0CqkOc4q9oUmW1yo/edit?usp=sharing"",""เพชรบูรณ์!I68"")"),15)</f>
        <v>15</v>
      </c>
      <c r="J138" s="276">
        <f ca="1">IFERROR(__xludf.DUMMYFUNCTION("IMPORTRANGE(""https://docs.google.com/spreadsheets/d/11923uPwbBZFjjGgGUA6NLw09EwE0CqkOc4q9oUmW1yo/edit?usp=sharing"",""เพชรบูรณ์!J68"")"),15)</f>
        <v>15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254700</v>
      </c>
      <c r="M140" s="158">
        <f t="shared" ca="1" si="64"/>
        <v>132750</v>
      </c>
      <c r="N140" s="158">
        <f t="shared" ca="1" si="64"/>
        <v>87570</v>
      </c>
      <c r="O140" s="157">
        <f t="shared" ref="O140:O142" ca="1" si="65">IF(L140&gt;0,N140*100/L140,0)</f>
        <v>34.381625441696116</v>
      </c>
      <c r="P140" s="157">
        <f t="shared" ref="P140:P142" ca="1" si="66">IF(M140&gt;0,N140*100/M140,0)</f>
        <v>65.966101694915253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254700</v>
      </c>
      <c r="M142" s="163">
        <f t="shared" ca="1" si="68"/>
        <v>132750</v>
      </c>
      <c r="N142" s="163">
        <f t="shared" ca="1" si="68"/>
        <v>87570</v>
      </c>
      <c r="O142" s="162">
        <f t="shared" ca="1" si="65"/>
        <v>34.381625441696116</v>
      </c>
      <c r="P142" s="162">
        <f t="shared" ca="1" si="66"/>
        <v>65.966101694915253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254700</v>
      </c>
      <c r="M144" s="176">
        <f ca="1">IFERROR(__xludf.DUMMYFUNCTION("IMPORTRANGE(""https://docs.google.com/spreadsheets/d/1Yj_ptqi66GCucihVvJfMjLAmec39IyEx_6qawtMGysU/edit?usp=sharing"",""สบก!BJ29"")"),132750)</f>
        <v>132750</v>
      </c>
      <c r="N144" s="177">
        <f ca="1">IFERROR(__xludf.DUMMYFUNCTION("IMPORTRANGE(""https://docs.google.com/spreadsheets/d/1Yj_ptqi66GCucihVvJfMjLAmec39IyEx_6qawtMGysU/edit?usp=sharing"",""สบก!BK29"")"),87570)</f>
        <v>87570</v>
      </c>
      <c r="O144" s="178">
        <f ca="1">IF(L144&gt;0,N144*100/L144,0)</f>
        <v>34.381625441696116</v>
      </c>
      <c r="P144" s="178">
        <f ca="1">IF(M144&gt;0,N144*100/M144,0)</f>
        <v>65.966101694915253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IFERROR(__xludf.DUMMYFUNCTION("IMPORTRANGE(""https://docs.google.com/spreadsheets/d/1Yj_ptqi66GCucihVvJfMjLAmec39IyEx_6qawtMGysU/edit?usp=sharing"",""สบก!BF29"")"),132000)</f>
        <v>132000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IFERROR(__xludf.DUMMYFUNCTION("IMPORTRANGE(""https://docs.google.com/spreadsheets/d/1Yj_ptqi66GCucihVvJfMjLAmec39IyEx_6qawtMGysU/edit?usp=sharing"",""สบก!BG29"")"),122700)</f>
        <v>122700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IFERROR(__xludf.DUMMYFUNCTION("IMPORTRANGE(""https://docs.google.com/spreadsheets/d/1Yj_ptqi66GCucihVvJfMjLAmec39IyEx_6qawtMGysU/edit?usp=sharing"",""สบก!BH29"")"),0)</f>
        <v>0</v>
      </c>
      <c r="M148" s="103"/>
      <c r="N148" s="93">
        <f ca="1">IFERROR(__xludf.DUMMYFUNCTION("IMPORTRANGE(""https://docs.google.com/spreadsheets/d/1Yj_ptqi66GCucihVvJfMjLAmec39IyEx_6qawtMGysU/edit?usp=sharing"",""สบก!BL29"")"),0)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IFERROR(__xludf.DUMMYFUNCTION("IMPORTRANGE(""https://docs.google.com/spreadsheets/d/11923uPwbBZFjjGgGUA6NLw09EwE0CqkOc4q9oUmW1yo/edit?usp=sharing"",""เพชรบูรณ์!I74"")"),4)</f>
        <v>4</v>
      </c>
      <c r="J149" s="284">
        <f ca="1">IFERROR(__xludf.DUMMYFUNCTION("IMPORTRANGE(""https://docs.google.com/spreadsheets/d/11923uPwbBZFjjGgGUA6NLw09EwE0CqkOc4q9oUmW1yo/edit?usp=sharing"",""เพชรบูรณ์!J74"")"),2)</f>
        <v>2</v>
      </c>
      <c r="K149" s="285">
        <f ca="1">IF(I149&gt;0,J149*100/I149,0)</f>
        <v>50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IFERROR(__xludf.DUMMYFUNCTION("IMPORTRANGE(""https://docs.google.com/spreadsheets/d/11923uPwbBZFjjGgGUA6NLw09EwE0CqkOc4q9oUmW1yo/edit?usp=sharing"",""เพชรบูรณ์!J79"")"),0)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IFERROR(__xludf.DUMMYFUNCTION("IMPORTRANGE(""https://docs.google.com/spreadsheets/d/11923uPwbBZFjjGgGUA6NLw09EwE0CqkOc4q9oUmW1yo/edit?usp=sharing"",""เพชรบูรณ์!J80"")"),1)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IFERROR(__xludf.DUMMYFUNCTION("IMPORTRANGE(""https://docs.google.com/spreadsheets/d/11923uPwbBZFjjGgGUA6NLw09EwE0CqkOc4q9oUmW1yo/edit?usp=sharing"",""เพชรบูรณ์!J81"")"),1)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IFERROR(__xludf.DUMMYFUNCTION("IMPORTRANGE(""https://docs.google.com/spreadsheets/d/11923uPwbBZFjjGgGUA6NLw09EwE0CqkOc4q9oUmW1yo/edit?usp=sharing"",""เพชรบูรณ์!J82"")"),1)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IFERROR(__xludf.DUMMYFUNCTION("IMPORTRANGE(""https://docs.google.com/spreadsheets/d/11923uPwbBZFjjGgGUA6NLw09EwE0CqkOc4q9oUmW1yo/edit?usp=sharing"",""เพชรบูรณ์!I83"")"),4)</f>
        <v>4</v>
      </c>
      <c r="J158" s="198">
        <f ca="1">IFERROR(__xludf.DUMMYFUNCTION("IMPORTRANGE(""https://docs.google.com/spreadsheets/d/11923uPwbBZFjjGgGUA6NLw09EwE0CqkOc4q9oUmW1yo/edit?usp=sharing"",""เพชรบูรณ์!J83"")"),2)</f>
        <v>2</v>
      </c>
      <c r="K158" s="171">
        <f ca="1">IF(I158&gt;0,J158*100/I158,0)</f>
        <v>50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IFERROR(__xludf.DUMMYFUNCTION("IMPORTRANGE(""https://docs.google.com/spreadsheets/d/11923uPwbBZFjjGgGUA6NLw09EwE0CqkOc4q9oUmW1yo/edit?usp=sharing"",""เพชรบูรณ์!J84"")"),123)</f>
        <v>123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IFERROR(__xludf.DUMMYFUNCTION("IMPORTRANGE(""https://docs.google.com/spreadsheets/d/11923uPwbBZFjjGgGUA6NLw09EwE0CqkOc4q9oUmW1yo/edit?usp=sharing"",""เพชรบูรณ์!J85"")"),123)</f>
        <v>123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IFERROR(__xludf.DUMMYFUNCTION("IMPORTRANGE(""https://docs.google.com/spreadsheets/d/11923uPwbBZFjjGgGUA6NLw09EwE0CqkOc4q9oUmW1yo/edit?usp=sharing"",""เพชรบูรณ์!J86"")"),0)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IFERROR(__xludf.DUMMYFUNCTION("IMPORTRANGE(""https://docs.google.com/spreadsheets/d/11923uPwbBZFjjGgGUA6NLw09EwE0CqkOc4q9oUmW1yo/edit?usp=sharing"",""เพชรบูรณ์!J87"")"),0)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IFERROR(__xludf.DUMMYFUNCTION("IMPORTRANGE(""https://docs.google.com/spreadsheets/d/11923uPwbBZFjjGgGUA6NLw09EwE0CqkOc4q9oUmW1yo/edit?usp=sharing"",""เพชรบูรณ์!J88"")"),0)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IFERROR(__xludf.DUMMYFUNCTION("IMPORTRANGE(""https://docs.google.com/spreadsheets/d/11923uPwbBZFjjGgGUA6NLw09EwE0CqkOc4q9oUmW1yo/edit?usp=sharing"",""เพชรบูรณ์!I89"")"),2)</f>
        <v>2</v>
      </c>
      <c r="J164" s="292">
        <f ca="1">IFERROR(__xludf.DUMMYFUNCTION("IMPORTRANGE(""https://docs.google.com/spreadsheets/d/11923uPwbBZFjjGgGUA6NLw09EwE0CqkOc4q9oUmW1yo/edit?usp=sharing"",""เพชรบูรณ์!J89"")"),1)</f>
        <v>1</v>
      </c>
      <c r="K164" s="293">
        <f ca="1">IF(I164&gt;0,J164*100/I164,0)</f>
        <v>50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IFERROR(__xludf.DUMMYFUNCTION("IMPORTRANGE(""https://docs.google.com/spreadsheets/d/11923uPwbBZFjjGgGUA6NLw09EwE0CqkOc4q9oUmW1yo/edit?usp=sharing"",""เพชรบูรณ์!J94"")"),0)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IFERROR(__xludf.DUMMYFUNCTION("IMPORTRANGE(""https://docs.google.com/spreadsheets/d/11923uPwbBZFjjGgGUA6NLw09EwE0CqkOc4q9oUmW1yo/edit?usp=sharing"",""เพชรบูรณ์!J95"")"),1)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IFERROR(__xludf.DUMMYFUNCTION("IMPORTRANGE(""https://docs.google.com/spreadsheets/d/11923uPwbBZFjjGgGUA6NLw09EwE0CqkOc4q9oUmW1yo/edit?usp=sharing"",""เพชรบูรณ์!J96"")"),0)</f>
        <v>0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IFERROR(__xludf.DUMMYFUNCTION("IMPORTRANGE(""https://docs.google.com/spreadsheets/d/11923uPwbBZFjjGgGUA6NLw09EwE0CqkOc4q9oUmW1yo/edit?usp=sharing"",""เพชรบูรณ์!J97"")"),0)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IFERROR(__xludf.DUMMYFUNCTION("IMPORTRANGE(""https://docs.google.com/spreadsheets/d/11923uPwbBZFjjGgGUA6NLw09EwE0CqkOc4q9oUmW1yo/edit?usp=sharing"",""เพชรบูรณ์!I98"")"),2)</f>
        <v>2</v>
      </c>
      <c r="J173" s="198">
        <f ca="1">IFERROR(__xludf.DUMMYFUNCTION("IMPORTRANGE(""https://docs.google.com/spreadsheets/d/11923uPwbBZFjjGgGUA6NLw09EwE0CqkOc4q9oUmW1yo/edit?usp=sharing"",""เพชรบูรณ์!J98"")"),1)</f>
        <v>1</v>
      </c>
      <c r="K173" s="171">
        <f ca="1">IF(I173&gt;0,J173*100/I173,0)</f>
        <v>50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IFERROR(__xludf.DUMMYFUNCTION("IMPORTRANGE(""https://docs.google.com/spreadsheets/d/11923uPwbBZFjjGgGUA6NLw09EwE0CqkOc4q9oUmW1yo/edit?usp=sharing"",""เพชรบูรณ์!J99"")"),0)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IFERROR(__xludf.DUMMYFUNCTION("IMPORTRANGE(""https://docs.google.com/spreadsheets/d/11923uPwbBZFjjGgGUA6NLw09EwE0CqkOc4q9oUmW1yo/edit?usp=sharing"",""เพชรบูรณ์!J100"")"),0)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IFERROR(__xludf.DUMMYFUNCTION("IMPORTRANGE(""https://docs.google.com/spreadsheets/d/11923uPwbBZFjjGgGUA6NLw09EwE0CqkOc4q9oUmW1yo/edit?usp=sharing"",""เพชรบูรณ์!I101"")"),2)</f>
        <v>2</v>
      </c>
      <c r="J176" s="292">
        <f ca="1">IFERROR(__xludf.DUMMYFUNCTION("IMPORTRANGE(""https://docs.google.com/spreadsheets/d/11923uPwbBZFjjGgGUA6NLw09EwE0CqkOc4q9oUmW1yo/edit?usp=sharing"",""เพชรบูรณ์!J101"")"),1)</f>
        <v>1</v>
      </c>
      <c r="K176" s="293">
        <f ca="1">IF(I176&gt;0,J176*100/I176,0)</f>
        <v>50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IFERROR(__xludf.DUMMYFUNCTION("IMPORTRANGE(""https://docs.google.com/spreadsheets/d/11923uPwbBZFjjGgGUA6NLw09EwE0CqkOc4q9oUmW1yo/edit?usp=sharing"",""เพชรบูรณ์!J106"")"),0)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IFERROR(__xludf.DUMMYFUNCTION("IMPORTRANGE(""https://docs.google.com/spreadsheets/d/11923uPwbBZFjjGgGUA6NLw09EwE0CqkOc4q9oUmW1yo/edit?usp=sharing"",""เพชรบูรณ์!J107"")"),1)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IFERROR(__xludf.DUMMYFUNCTION("IMPORTRANGE(""https://docs.google.com/spreadsheets/d/11923uPwbBZFjjGgGUA6NLw09EwE0CqkOc4q9oUmW1yo/edit?usp=sharing"",""เพชรบูรณ์!J108"")"),0)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IFERROR(__xludf.DUMMYFUNCTION("IMPORTRANGE(""https://docs.google.com/spreadsheets/d/11923uPwbBZFjjGgGUA6NLw09EwE0CqkOc4q9oUmW1yo/edit?usp=sharing"",""เพชรบูรณ์!J109"")"),0)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IFERROR(__xludf.DUMMYFUNCTION("IMPORTRANGE(""https://docs.google.com/spreadsheets/d/11923uPwbBZFjjGgGUA6NLw09EwE0CqkOc4q9oUmW1yo/edit?usp=sharing"",""เพชรบูรณ์!I110"")"),2)</f>
        <v>2</v>
      </c>
      <c r="J185" s="213">
        <f ca="1">IFERROR(__xludf.DUMMYFUNCTION("IMPORTRANGE(""https://docs.google.com/spreadsheets/d/11923uPwbBZFjjGgGUA6NLw09EwE0CqkOc4q9oUmW1yo/edit?usp=sharing"",""เพชรบูรณ์!J110"")"),1)</f>
        <v>1</v>
      </c>
      <c r="K185" s="233">
        <f t="shared" ref="K185:K186" ca="1" si="69">IF(I185&gt;0,J185*100/I185,0)</f>
        <v>50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IFERROR(__xludf.DUMMYFUNCTION("IMPORTRANGE(""https://docs.google.com/spreadsheets/d/11923uPwbBZFjjGgGUA6NLw09EwE0CqkOc4q9oUmW1yo/edit?usp=sharing"",""เพชรบูรณ์!I111"")"),2)</f>
        <v>2</v>
      </c>
      <c r="J186" s="213">
        <f ca="1">IFERROR(__xludf.DUMMYFUNCTION("IMPORTRANGE(""https://docs.google.com/spreadsheets/d/11923uPwbBZFjjGgGUA6NLw09EwE0CqkOc4q9oUmW1yo/edit?usp=sharing"",""เพชรบูรณ์!J111"")"),1)</f>
        <v>1</v>
      </c>
      <c r="K186" s="233">
        <f t="shared" ca="1" si="69"/>
        <v>50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IFERROR(__xludf.DUMMYFUNCTION("IMPORTRANGE(""https://docs.google.com/spreadsheets/d/11923uPwbBZFjjGgGUA6NLw09EwE0CqkOc4q9oUmW1yo/edit?usp=sharing"",""เพชรบูรณ์!J112"")"),0)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IFERROR(__xludf.DUMMYFUNCTION("IMPORTRANGE(""https://docs.google.com/spreadsheets/d/11923uPwbBZFjjGgGUA6NLw09EwE0CqkOc4q9oUmW1yo/edit?usp=sharing"",""เพชรบูรณ์!J113"")"),0)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IFERROR(__xludf.DUMMYFUNCTION("IMPORTRANGE(""https://docs.google.com/spreadsheets/d/11923uPwbBZFjjGgGUA6NLw09EwE0CqkOc4q9oUmW1yo/edit?usp=sharing"",""เพชรบูรณ์!I114"")"),128000)</f>
        <v>128000</v>
      </c>
      <c r="J189" s="292">
        <f ca="1">IFERROR(__xludf.DUMMYFUNCTION("IMPORTRANGE(""https://docs.google.com/spreadsheets/d/11923uPwbBZFjjGgGUA6NLw09EwE0CqkOc4q9oUmW1yo/edit?usp=sharing"",""เพชรบูรณ์!J114"")"),0)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IFERROR(__xludf.DUMMYFUNCTION("IMPORTRANGE(""https://docs.google.com/spreadsheets/d/11923uPwbBZFjjGgGUA6NLw09EwE0CqkOc4q9oUmW1yo/edit?usp=sharing"",""เพชรบูรณ์!J119"")"),0)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IFERROR(__xludf.DUMMYFUNCTION("IMPORTRANGE(""https://docs.google.com/spreadsheets/d/11923uPwbBZFjjGgGUA6NLw09EwE0CqkOc4q9oUmW1yo/edit?usp=sharing"",""เพชรบูรณ์!J120"")"),1)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IFERROR(__xludf.DUMMYFUNCTION("IMPORTRANGE(""https://docs.google.com/spreadsheets/d/11923uPwbBZFjjGgGUA6NLw09EwE0CqkOc4q9oUmW1yo/edit?usp=sharing"",""เพชรบูรณ์!J121"")"),1)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IFERROR(__xludf.DUMMYFUNCTION("IMPORTRANGE(""https://docs.google.com/spreadsheets/d/11923uPwbBZFjjGgGUA6NLw09EwE0CqkOc4q9oUmW1yo/edit?usp=sharing"",""เพชรบูรณ์!J122"")"),1)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IFERROR(__xludf.DUMMYFUNCTION("IMPORTRANGE(""https://docs.google.com/spreadsheets/d/11923uPwbBZFjjGgGUA6NLw09EwE0CqkOc4q9oUmW1yo/edit?usp=sharing"",""เพชรบูรณ์!I124"")"),128000)</f>
        <v>128000</v>
      </c>
      <c r="J199" s="198">
        <f ca="1">IFERROR(__xludf.DUMMYFUNCTION("IMPORTRANGE(""https://docs.google.com/spreadsheets/d/11923uPwbBZFjjGgGUA6NLw09EwE0CqkOc4q9oUmW1yo/edit?usp=sharing"",""เพชรบูรณ์!J124"")"),128000)</f>
        <v>128000</v>
      </c>
      <c r="K199" s="171">
        <f t="shared" ref="K199:K201" ca="1" si="70">IF(I199&gt;0,J199*100/I199,0)</f>
        <v>100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IFERROR(__xludf.DUMMYFUNCTION("IMPORTRANGE(""https://docs.google.com/spreadsheets/d/11923uPwbBZFjjGgGUA6NLw09EwE0CqkOc4q9oUmW1yo/edit?usp=sharing"",""เพชรบูรณ์!I125"")"),128000)</f>
        <v>128000</v>
      </c>
      <c r="J200" s="198">
        <f ca="1">IFERROR(__xludf.DUMMYFUNCTION("IMPORTRANGE(""https://docs.google.com/spreadsheets/d/11923uPwbBZFjjGgGUA6NLw09EwE0CqkOc4q9oUmW1yo/edit?usp=sharing"",""เพชรบูรณ์!J125"")"),0)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IFERROR(__xludf.DUMMYFUNCTION("IMPORTRANGE(""https://docs.google.com/spreadsheets/d/11923uPwbBZFjjGgGUA6NLw09EwE0CqkOc4q9oUmW1yo/edit?usp=sharing"",""เพชรบูรณ์!I126"")"),15)</f>
        <v>15</v>
      </c>
      <c r="J201" s="198">
        <f ca="1">IFERROR(__xludf.DUMMYFUNCTION("IMPORTRANGE(""https://docs.google.com/spreadsheets/d/11923uPwbBZFjjGgGUA6NLw09EwE0CqkOc4q9oUmW1yo/edit?usp=sharing"",""เพชรบูรณ์!J126"")"),15)</f>
        <v>15</v>
      </c>
      <c r="K201" s="171">
        <f t="shared" ca="1" si="70"/>
        <v>100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IFERROR(__xludf.DUMMYFUNCTION("IMPORTRANGE(""https://docs.google.com/spreadsheets/d/11923uPwbBZFjjGgGUA6NLw09EwE0CqkOc4q9oUmW1yo/edit?usp=sharing"",""เพชรบูรณ์!J127"")"),0)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IFERROR(__xludf.DUMMYFUNCTION("IMPORTRANGE(""https://docs.google.com/spreadsheets/d/11923uPwbBZFjjGgGUA6NLw09EwE0CqkOc4q9oUmW1yo/edit?usp=sharing"",""เพชรบูรณ์!J128"")"),0)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IFERROR(__xludf.DUMMYFUNCTION("IMPORTRANGE(""https://docs.google.com/spreadsheets/d/11923uPwbBZFjjGgGUA6NLw09EwE0CqkOc4q9oUmW1yo/edit?usp=sharing"",""เพชรบูรณ์!I129"")"),0)</f>
        <v>0</v>
      </c>
      <c r="J204" s="292">
        <f ca="1">IFERROR(__xludf.DUMMYFUNCTION("IMPORTRANGE(""https://docs.google.com/spreadsheets/d/11923uPwbBZFjjGgGUA6NLw09EwE0CqkOc4q9oUmW1yo/edit?usp=sharing"",""เพชรบูรณ์!J129"")"),0)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IFERROR(__xludf.DUMMYFUNCTION("IMPORTRANGE(""https://docs.google.com/spreadsheets/d/11923uPwbBZFjjGgGUA6NLw09EwE0CqkOc4q9oUmW1yo/edit?usp=sharing"",""เพชรบูรณ์!J134"")"),0)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IFERROR(__xludf.DUMMYFUNCTION("IMPORTRANGE(""https://docs.google.com/spreadsheets/d/11923uPwbBZFjjGgGUA6NLw09EwE0CqkOc4q9oUmW1yo/edit?usp=sharing"",""เพชรบูรณ์!J135"")"),0)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IFERROR(__xludf.DUMMYFUNCTION("IMPORTRANGE(""https://docs.google.com/spreadsheets/d/11923uPwbBZFjjGgGUA6NLw09EwE0CqkOc4q9oUmW1yo/edit?usp=sharing"",""เพชรบูรณ์!J136"")"),0)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IFERROR(__xludf.DUMMYFUNCTION("IMPORTRANGE(""https://docs.google.com/spreadsheets/d/11923uPwbBZFjjGgGUA6NLw09EwE0CqkOc4q9oUmW1yo/edit?usp=sharing"",""เพชรบูรณ์!J137"")"),0)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IFERROR(__xludf.DUMMYFUNCTION("IMPORTRANGE(""https://docs.google.com/spreadsheets/d/11923uPwbBZFjjGgGUA6NLw09EwE0CqkOc4q9oUmW1yo/edit?usp=sharing"",""เพชรบูรณ์!I138"")"),0)</f>
        <v>0</v>
      </c>
      <c r="J213" s="213">
        <f ca="1">IFERROR(__xludf.DUMMYFUNCTION("IMPORTRANGE(""https://docs.google.com/spreadsheets/d/11923uPwbBZFjjGgGUA6NLw09EwE0CqkOc4q9oUmW1yo/edit?usp=sharing"",""เพชรบูรณ์!J138"")"),0)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IFERROR(__xludf.DUMMYFUNCTION("IMPORTRANGE(""https://docs.google.com/spreadsheets/d/11923uPwbBZFjjGgGUA6NLw09EwE0CqkOc4q9oUmW1yo/edit?usp=sharing"",""เพชรบูรณ์!I140"")"),0)</f>
        <v>0</v>
      </c>
      <c r="J215" s="213">
        <f ca="1">IFERROR(__xludf.DUMMYFUNCTION("IMPORTRANGE(""https://docs.google.com/spreadsheets/d/11923uPwbBZFjjGgGUA6NLw09EwE0CqkOc4q9oUmW1yo/edit?usp=sharing"",""เพชรบูรณ์!J140"")"),0)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IFERROR(__xludf.DUMMYFUNCTION("IMPORTRANGE(""https://docs.google.com/spreadsheets/d/11923uPwbBZFjjGgGUA6NLw09EwE0CqkOc4q9oUmW1yo/edit?usp=sharing"",""เพชรบูรณ์!I141"")"),0)</f>
        <v>0</v>
      </c>
      <c r="J216" s="213">
        <f ca="1">IFERROR(__xludf.DUMMYFUNCTION("IMPORTRANGE(""https://docs.google.com/spreadsheets/d/11923uPwbBZFjjGgGUA6NLw09EwE0CqkOc4q9oUmW1yo/edit?usp=sharing"",""เพชรบูรณ์!J141"")"),0)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IFERROR(__xludf.DUMMYFUNCTION("IMPORTRANGE(""https://docs.google.com/spreadsheets/d/11923uPwbBZFjjGgGUA6NLw09EwE0CqkOc4q9oUmW1yo/edit?usp=sharing"",""เพชรบูรณ์!J142"")"),0)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IFERROR(__xludf.DUMMYFUNCTION("IMPORTRANGE(""https://docs.google.com/spreadsheets/d/11923uPwbBZFjjGgGUA6NLw09EwE0CqkOc4q9oUmW1yo/edit?usp=sharing"",""เพชรบูรณ์!J143"")"),0)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IFERROR(__xludf.DUMMYFUNCTION("IMPORTRANGE(""https://docs.google.com/spreadsheets/d/11923uPwbBZFjjGgGUA6NLw09EwE0CqkOc4q9oUmW1yo/edit?usp=sharing"",""เพชรบูรณ์!I144"")"),15)</f>
        <v>15</v>
      </c>
      <c r="J219" s="276">
        <f ca="1">IFERROR(__xludf.DUMMYFUNCTION("IMPORTRANGE(""https://docs.google.com/spreadsheets/d/11923uPwbBZFjjGgGUA6NLw09EwE0CqkOc4q9oUmW1yo/edit?usp=sharing"",""เพชรบูรณ์!J144"")"),15)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IFERROR(__xludf.DUMMYFUNCTION("IMPORTRANGE(""https://docs.google.com/spreadsheets/d/1Yj_ptqi66GCucihVvJfMjLAmec39IyEx_6qawtMGysU/edit?usp=sharing"",""สบก!BS29"")"),21125)</f>
        <v>21125</v>
      </c>
      <c r="N224" s="177">
        <f ca="1">IFERROR(__xludf.DUMMYFUNCTION("IMPORTRANGE(""https://docs.google.com/spreadsheets/d/1Yj_ptqi66GCucihVvJfMjLAmec39IyEx_6qawtMGysU/edit?usp=sharing"",""สบก!BT29"")"),21125)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IFERROR(__xludf.DUMMYFUNCTION("IMPORTRANGE(""https://docs.google.com/spreadsheets/d/1Yj_ptqi66GCucihVvJfMjLAmec39IyEx_6qawtMGysU/edit?usp=sharing"",""สบก!BO29"")"),0)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IFERROR(__xludf.DUMMYFUNCTION("IMPORTRANGE(""https://docs.google.com/spreadsheets/d/1Yj_ptqi66GCucihVvJfMjLAmec39IyEx_6qawtMGysU/edit?usp=sharing"",""สบก!BP29"")"),21125)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IFERROR(__xludf.DUMMYFUNCTION("IMPORTRANGE(""https://docs.google.com/spreadsheets/d/1Yj_ptqi66GCucihVvJfMjLAmec39IyEx_6qawtMGysU/edit?usp=sharing"",""สบก!BQ29"")"),0)</f>
        <v>0</v>
      </c>
      <c r="M228" s="103"/>
      <c r="N228" s="93">
        <f ca="1">IFERROR(__xludf.DUMMYFUNCTION("IMPORTRANGE(""https://docs.google.com/spreadsheets/d/1Yj_ptqi66GCucihVvJfMjLAmec39IyEx_6qawtMGysU/edit?usp=sharing"",""สบก!BU29"")"),0)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IFERROR(__xludf.DUMMYFUNCTION("IMPORTRANGE(""https://docs.google.com/spreadsheets/d/11923uPwbBZFjjGgGUA6NLw09EwE0CqkOc4q9oUmW1yo/edit?usp=sharing"",""เพชรบูรณ์!I149"")"),15)</f>
        <v>15</v>
      </c>
      <c r="J229" s="276">
        <f ca="1">IFERROR(__xludf.DUMMYFUNCTION("IMPORTRANGE(""https://docs.google.com/spreadsheets/d/11923uPwbBZFjjGgGUA6NLw09EwE0CqkOc4q9oUmW1yo/edit?usp=sharing"",""เพชรบูรณ์!J149"")"),15)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IFERROR(__xludf.DUMMYFUNCTION("IMPORTRANGE(""https://docs.google.com/spreadsheets/d/11923uPwbBZFjjGgGUA6NLw09EwE0CqkOc4q9oUmW1yo/edit?usp=sharing"",""เพชรบูรณ์!J151"")"),0)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IFERROR(__xludf.DUMMYFUNCTION("IMPORTRANGE(""https://docs.google.com/spreadsheets/d/11923uPwbBZFjjGgGUA6NLw09EwE0CqkOc4q9oUmW1yo/edit?usp=sharing"",""เพชรบูรณ์!J152"")"),1)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IFERROR(__xludf.DUMMYFUNCTION("IMPORTRANGE(""https://docs.google.com/spreadsheets/d/11923uPwbBZFjjGgGUA6NLw09EwE0CqkOc4q9oUmW1yo/edit?usp=sharing"",""เพชรบูรณ์!J153"")"),1)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IFERROR(__xludf.DUMMYFUNCTION("IMPORTRANGE(""https://docs.google.com/spreadsheets/d/11923uPwbBZFjjGgGUA6NLw09EwE0CqkOc4q9oUmW1yo/edit?usp=sharing"",""เพชรบูรณ์!J154"")"),1)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IFERROR(__xludf.DUMMYFUNCTION("IMPORTRANGE(""https://docs.google.com/spreadsheets/d/11923uPwbBZFjjGgGUA6NLw09EwE0CqkOc4q9oUmW1yo/edit?usp=sharing"",""เพชรบูรณ์!I155"")"),15)</f>
        <v>15</v>
      </c>
      <c r="J235" s="198">
        <f ca="1">IFERROR(__xludf.DUMMYFUNCTION("IMPORTRANGE(""https://docs.google.com/spreadsheets/d/11923uPwbBZFjjGgGUA6NLw09EwE0CqkOc4q9oUmW1yo/edit?usp=sharing"",""เพชรบูรณ์!J155"")"),15)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IFERROR(__xludf.DUMMYFUNCTION("IMPORTRANGE(""https://docs.google.com/spreadsheets/d/11923uPwbBZFjjGgGUA6NLw09EwE0CqkOc4q9oUmW1yo/edit?usp=sharing"",""เพชรบูรณ์!J156"")"),0)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IFERROR(__xludf.DUMMYFUNCTION("IMPORTRANGE(""https://docs.google.com/spreadsheets/d/11923uPwbBZFjjGgGUA6NLw09EwE0CqkOc4q9oUmW1yo/edit?usp=sharing"",""เพชรบูรณ์!J157"")"),0)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IFERROR(__xludf.DUMMYFUNCTION("IMPORTRANGE(""https://docs.google.com/spreadsheets/d/11923uPwbBZFjjGgGUA6NLw09EwE0CqkOc4q9oUmW1yo/edit?usp=sharing"",""เพชรบูรณ์!I158"")"),0)</f>
        <v>0</v>
      </c>
      <c r="J238" s="276">
        <f ca="1">IFERROR(__xludf.DUMMYFUNCTION("IMPORTRANGE(""https://docs.google.com/spreadsheets/d/11923uPwbBZFjjGgGUA6NLw09EwE0CqkOc4q9oUmW1yo/edit?usp=sharing"",""เพชรบูรณ์!J158"")"),0)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IFERROR(__xludf.DUMMYFUNCTION("IMPORTRANGE(""https://docs.google.com/spreadsheets/d/11923uPwbBZFjjGgGUA6NLw09EwE0CqkOc4q9oUmW1yo/edit?usp=sharing"",""เพชรบูรณ์!J159"")"),"")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IFERROR(__xludf.DUMMYFUNCTION("IMPORTRANGE(""https://docs.google.com/spreadsheets/d/11923uPwbBZFjjGgGUA6NLw09EwE0CqkOc4q9oUmW1yo/edit?usp=sharing"",""เพชรบูรณ์!J161"")"),0)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IFERROR(__xludf.DUMMYFUNCTION("IMPORTRANGE(""https://docs.google.com/spreadsheets/d/11923uPwbBZFjjGgGUA6NLw09EwE0CqkOc4q9oUmW1yo/edit?usp=sharing"",""เพชรบูรณ์!J162"")"),0)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IFERROR(__xludf.DUMMYFUNCTION("IMPORTRANGE(""https://docs.google.com/spreadsheets/d/11923uPwbBZFjjGgGUA6NLw09EwE0CqkOc4q9oUmW1yo/edit?usp=sharing"",""เพชรบูรณ์!J163"")"),0)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IFERROR(__xludf.DUMMYFUNCTION("IMPORTRANGE(""https://docs.google.com/spreadsheets/d/11923uPwbBZFjjGgGUA6NLw09EwE0CqkOc4q9oUmW1yo/edit?usp=sharing"",""เพชรบูรณ์!I164"")"),0)</f>
        <v>0</v>
      </c>
      <c r="J244" s="197">
        <f ca="1">IFERROR(__xludf.DUMMYFUNCTION("IMPORTRANGE(""https://docs.google.com/spreadsheets/d/11923uPwbBZFjjGgGUA6NLw09EwE0CqkOc4q9oUmW1yo/edit?usp=sharing"",""เพชรบูรณ์!J164"")"),0)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IFERROR(__xludf.DUMMYFUNCTION("IMPORTRANGE(""https://docs.google.com/spreadsheets/d/11923uPwbBZFjjGgGUA6NLw09EwE0CqkOc4q9oUmW1yo/edit?usp=sharing"",""เพชรบูรณ์!J165"")"),0)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IFERROR(__xludf.DUMMYFUNCTION("IMPORTRANGE(""https://docs.google.com/spreadsheets/d/11923uPwbBZFjjGgGUA6NLw09EwE0CqkOc4q9oUmW1yo/edit?usp=sharing"",""เพชรบูรณ์!J166"")"),0)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IFERROR(__xludf.DUMMYFUNCTION("IMPORTRANGE(""https://docs.google.com/spreadsheets/d/11923uPwbBZFjjGgGUA6NLw09EwE0CqkOc4q9oUmW1yo/edit?usp=sharing"",""เพชรบูรณ์!I169"")"),25)</f>
        <v>25</v>
      </c>
      <c r="J249" s="324">
        <f ca="1">IFERROR(__xludf.DUMMYFUNCTION("IMPORTRANGE(""https://docs.google.com/spreadsheets/d/11923uPwbBZFjjGgGUA6NLw09EwE0CqkOc4q9oUmW1yo/edit?usp=sharing"",""เพชรบูรณ์!J169"")"),25)</f>
        <v>25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199000</v>
      </c>
      <c r="M250" s="158">
        <f t="shared" ca="1" si="77"/>
        <v>97500</v>
      </c>
      <c r="N250" s="158">
        <f t="shared" ca="1" si="77"/>
        <v>79374</v>
      </c>
      <c r="O250" s="157">
        <f t="shared" ref="O250:O252" ca="1" si="78">IF(L250&gt;0,N250*100/L250,0)</f>
        <v>39.88643216080402</v>
      </c>
      <c r="P250" s="157">
        <f t="shared" ref="P250:P252" ca="1" si="79">IF(M250&gt;0,N250*100/M250,0)</f>
        <v>81.409230769230774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199000</v>
      </c>
      <c r="M252" s="163">
        <f t="shared" ca="1" si="81"/>
        <v>97500</v>
      </c>
      <c r="N252" s="163">
        <f t="shared" ca="1" si="81"/>
        <v>79374</v>
      </c>
      <c r="O252" s="162">
        <f t="shared" ca="1" si="78"/>
        <v>39.88643216080402</v>
      </c>
      <c r="P252" s="162">
        <f t="shared" ca="1" si="79"/>
        <v>81.409230769230774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199000</v>
      </c>
      <c r="M254" s="176">
        <f ca="1">IFERROR(__xludf.DUMMYFUNCTION("IMPORTRANGE(""https://docs.google.com/spreadsheets/d/1Yj_ptqi66GCucihVvJfMjLAmec39IyEx_6qawtMGysU/edit?usp=sharing"",""สบก!CB29"")"),97500)</f>
        <v>97500</v>
      </c>
      <c r="N254" s="177">
        <f ca="1">IFERROR(__xludf.DUMMYFUNCTION("IMPORTRANGE(""https://docs.google.com/spreadsheets/d/1Yj_ptqi66GCucihVvJfMjLAmec39IyEx_6qawtMGysU/edit?usp=sharing"",""สบก!CC29"")"),79374)</f>
        <v>79374</v>
      </c>
      <c r="O254" s="178">
        <f ca="1">IF(L254&gt;0,N254*100/L254,0)</f>
        <v>39.88643216080402</v>
      </c>
      <c r="P254" s="178">
        <f ca="1">IF(M254&gt;0,N254*100/M254,0)</f>
        <v>81.409230769230774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IFERROR(__xludf.DUMMYFUNCTION("IMPORTRANGE(""https://docs.google.com/spreadsheets/d/1Yj_ptqi66GCucihVvJfMjLAmec39IyEx_6qawtMGysU/edit?usp=sharing"",""สบก!BX29"")"),0)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IFERROR(__xludf.DUMMYFUNCTION("IMPORTRANGE(""https://docs.google.com/spreadsheets/d/1Yj_ptqi66GCucihVvJfMjLAmec39IyEx_6qawtMGysU/edit?usp=sharing"",""สบก!BY29"")"),199000)</f>
        <v>199000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IFERROR(__xludf.DUMMYFUNCTION("IMPORTRANGE(""https://docs.google.com/spreadsheets/d/1Yj_ptqi66GCucihVvJfMjLAmec39IyEx_6qawtMGysU/edit?usp=sharing"",""สบก!BZ29"")"),0)</f>
        <v>0</v>
      </c>
      <c r="M258" s="103"/>
      <c r="N258" s="93">
        <f ca="1">IFERROR(__xludf.DUMMYFUNCTION("IMPORTRANGE(""https://docs.google.com/spreadsheets/d/1Yj_ptqi66GCucihVvJfMjLAmec39IyEx_6qawtMGysU/edit?usp=sharing"",""สบก!CD29"")"),0)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IFERROR(__xludf.DUMMYFUNCTION("IMPORTRANGE(""https://docs.google.com/spreadsheets/d/11923uPwbBZFjjGgGUA6NLw09EwE0CqkOc4q9oUmW1yo/edit?usp=sharing"",""เพชรบูรณ์!J175"")"),0)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IFERROR(__xludf.DUMMYFUNCTION("IMPORTRANGE(""https://docs.google.com/spreadsheets/d/11923uPwbBZFjjGgGUA6NLw09EwE0CqkOc4q9oUmW1yo/edit?usp=sharing"",""เพชรบูรณ์!J176"")"),1)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IFERROR(__xludf.DUMMYFUNCTION("IMPORTRANGE(""https://docs.google.com/spreadsheets/d/11923uPwbBZFjjGgGUA6NLw09EwE0CqkOc4q9oUmW1yo/edit?usp=sharing"",""เพชรบูรณ์!J177"")"),1)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IFERROR(__xludf.DUMMYFUNCTION("IMPORTRANGE(""https://docs.google.com/spreadsheets/d/11923uPwbBZFjjGgGUA6NLw09EwE0CqkOc4q9oUmW1yo/edit?usp=sharing"",""เพชรบูรณ์!J178"")"),1)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IFERROR(__xludf.DUMMYFUNCTION("IMPORTRANGE(""https://docs.google.com/spreadsheets/d/11923uPwbBZFjjGgGUA6NLw09EwE0CqkOc4q9oUmW1yo/edit?usp=sharing"",""เพชรบูรณ์!I179"")"),1)</f>
        <v>1</v>
      </c>
      <c r="J264" s="198">
        <f ca="1">IFERROR(__xludf.DUMMYFUNCTION("IMPORTRANGE(""https://docs.google.com/spreadsheets/d/11923uPwbBZFjjGgGUA6NLw09EwE0CqkOc4q9oUmW1yo/edit?usp=sharing"",""เพชรบูรณ์!J179"")"),1)</f>
        <v>1</v>
      </c>
      <c r="K264" s="171">
        <f t="shared" ref="K264:K267" ca="1" si="82">IF(I264&gt;0,J264*100/I264,0)</f>
        <v>100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IFERROR(__xludf.DUMMYFUNCTION("IMPORTRANGE(""https://docs.google.com/spreadsheets/d/11923uPwbBZFjjGgGUA6NLw09EwE0CqkOc4q9oUmW1yo/edit?usp=sharing"",""เพชรบูรณ์!I180"")"),25)</f>
        <v>25</v>
      </c>
      <c r="J265" s="198">
        <f ca="1">IFERROR(__xludf.DUMMYFUNCTION("IMPORTRANGE(""https://docs.google.com/spreadsheets/d/11923uPwbBZFjjGgGUA6NLw09EwE0CqkOc4q9oUmW1yo/edit?usp=sharing"",""เพชรบูรณ์!J180"")"),25)</f>
        <v>25</v>
      </c>
      <c r="K265" s="171">
        <f t="shared" ca="1" si="82"/>
        <v>100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IFERROR(__xludf.DUMMYFUNCTION("IMPORTRANGE(""https://docs.google.com/spreadsheets/d/11923uPwbBZFjjGgGUA6NLw09EwE0CqkOc4q9oUmW1yo/edit?usp=sharing"",""เพชรบูรณ์!I181"")"),25)</f>
        <v>25</v>
      </c>
      <c r="J266" s="198">
        <f ca="1">IFERROR(__xludf.DUMMYFUNCTION("IMPORTRANGE(""https://docs.google.com/spreadsheets/d/11923uPwbBZFjjGgGUA6NLw09EwE0CqkOc4q9oUmW1yo/edit?usp=sharing"",""เพชรบูรณ์!J181"")"),25)</f>
        <v>25</v>
      </c>
      <c r="K266" s="171">
        <f t="shared" ca="1" si="82"/>
        <v>100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IFERROR(__xludf.DUMMYFUNCTION("IMPORTRANGE(""https://docs.google.com/spreadsheets/d/11923uPwbBZFjjGgGUA6NLw09EwE0CqkOc4q9oUmW1yo/edit?usp=sharing"",""เพชรบูรณ์!I182"")"),1)</f>
        <v>1</v>
      </c>
      <c r="J267" s="198">
        <f ca="1">IFERROR(__xludf.DUMMYFUNCTION("IMPORTRANGE(""https://docs.google.com/spreadsheets/d/11923uPwbBZFjjGgGUA6NLw09EwE0CqkOc4q9oUmW1yo/edit?usp=sharing"",""เพชรบูรณ์!J182"")"),1)</f>
        <v>1</v>
      </c>
      <c r="K267" s="171">
        <f t="shared" ca="1" si="82"/>
        <v>100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IFERROR(__xludf.DUMMYFUNCTION("IMPORTRANGE(""https://docs.google.com/spreadsheets/d/11923uPwbBZFjjGgGUA6NLw09EwE0CqkOc4q9oUmW1yo/edit?usp=sharing"",""เพชรบูรณ์!J183"")"),0)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IFERROR(__xludf.DUMMYFUNCTION("IMPORTRANGE(""https://docs.google.com/spreadsheets/d/11923uPwbBZFjjGgGUA6NLw09EwE0CqkOc4q9oUmW1yo/edit?usp=sharing"",""เพชรบูรณ์!J184"")"),0)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IFERROR(__xludf.DUMMYFUNCTION("IMPORTRANGE(""https://docs.google.com/spreadsheets/d/11923uPwbBZFjjGgGUA6NLw09EwE0CqkOc4q9oUmW1yo/edit?usp=sharing"",""เพชรบูรณ์!I185"")"),20)</f>
        <v>20</v>
      </c>
      <c r="J270" s="324">
        <f ca="1">IFERROR(__xludf.DUMMYFUNCTION("IMPORTRANGE(""https://docs.google.com/spreadsheets/d/11923uPwbBZFjjGgGUA6NLw09EwE0CqkOc4q9oUmW1yo/edit?usp=sharing"",""เพชรบูรณ์!J185"")"),20)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73700</v>
      </c>
      <c r="M271" s="158">
        <f t="shared" ca="1" si="83"/>
        <v>33000</v>
      </c>
      <c r="N271" s="158">
        <f t="shared" ca="1" si="83"/>
        <v>33000</v>
      </c>
      <c r="O271" s="157">
        <f t="shared" ref="O271:O273" ca="1" si="84">IF(L271&gt;0,N271*100/L271,0)</f>
        <v>44.776119402985074</v>
      </c>
      <c r="P271" s="157">
        <f t="shared" ref="P271:P273" ca="1" si="85">IF(M271&gt;0,N271*100/M271,0)</f>
        <v>100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73700</v>
      </c>
      <c r="M273" s="163">
        <f t="shared" ca="1" si="87"/>
        <v>33000</v>
      </c>
      <c r="N273" s="163">
        <f t="shared" ca="1" si="87"/>
        <v>33000</v>
      </c>
      <c r="O273" s="162">
        <f t="shared" ca="1" si="84"/>
        <v>44.776119402985074</v>
      </c>
      <c r="P273" s="162">
        <f t="shared" ca="1" si="85"/>
        <v>100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73700</v>
      </c>
      <c r="M275" s="176">
        <f ca="1">IFERROR(__xludf.DUMMYFUNCTION("IMPORTRANGE(""https://docs.google.com/spreadsheets/d/1Yj_ptqi66GCucihVvJfMjLAmec39IyEx_6qawtMGysU/edit?usp=sharing"",""สบก!CK29"")"),33000)</f>
        <v>33000</v>
      </c>
      <c r="N275" s="177">
        <f ca="1">IFERROR(__xludf.DUMMYFUNCTION("IMPORTRANGE(""https://docs.google.com/spreadsheets/d/1Yj_ptqi66GCucihVvJfMjLAmec39IyEx_6qawtMGysU/edit?usp=sharing"",""สบก!CL29"")"),33000)</f>
        <v>33000</v>
      </c>
      <c r="O275" s="178">
        <f ca="1">IF(L275&gt;0,N275*100/L275,0)</f>
        <v>44.776119402985074</v>
      </c>
      <c r="P275" s="178">
        <f ca="1">IF(M275&gt;0,N275*100/M275,0)</f>
        <v>100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IFERROR(__xludf.DUMMYFUNCTION("IMPORTRANGE(""https://docs.google.com/spreadsheets/d/1Yj_ptqi66GCucihVvJfMjLAmec39IyEx_6qawtMGysU/edit?usp=sharing"",""สบก!CG29"")"),0)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IFERROR(__xludf.DUMMYFUNCTION("IMPORTRANGE(""https://docs.google.com/spreadsheets/d/1Yj_ptqi66GCucihVvJfMjLAmec39IyEx_6qawtMGysU/edit?usp=sharing"",""สบก!CH29"")"),73700)</f>
        <v>73700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IFERROR(__xludf.DUMMYFUNCTION("IMPORTRANGE(""https://docs.google.com/spreadsheets/d/1Yj_ptqi66GCucihVvJfMjLAmec39IyEx_6qawtMGysU/edit?usp=sharing"",""สบก!CI29"")"),0)</f>
        <v>0</v>
      </c>
      <c r="M279" s="103"/>
      <c r="N279" s="93">
        <f ca="1">IFERROR(__xludf.DUMMYFUNCTION("IMPORTRANGE(""https://docs.google.com/spreadsheets/d/1Yj_ptqi66GCucihVvJfMjLAmec39IyEx_6qawtMGysU/edit?usp=sharing"",""สบก!CM29"")"),0)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IFERROR(__xludf.DUMMYFUNCTION("IMPORTRANGE(""https://docs.google.com/spreadsheets/d/11923uPwbBZFjjGgGUA6NLw09EwE0CqkOc4q9oUmW1yo/edit?usp=sharing"",""เพชรบูรณ์!J191"")"),0)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IFERROR(__xludf.DUMMYFUNCTION("IMPORTRANGE(""https://docs.google.com/spreadsheets/d/11923uPwbBZFjjGgGUA6NLw09EwE0CqkOc4q9oUmW1yo/edit?usp=sharing"",""เพชรบูรณ์!J192"")"),1)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IFERROR(__xludf.DUMMYFUNCTION("IMPORTRANGE(""https://docs.google.com/spreadsheets/d/11923uPwbBZFjjGgGUA6NLw09EwE0CqkOc4q9oUmW1yo/edit?usp=sharing"",""เพชรบูรณ์!J193"")"),1)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IFERROR(__xludf.DUMMYFUNCTION("IMPORTRANGE(""https://docs.google.com/spreadsheets/d/11923uPwbBZFjjGgGUA6NLw09EwE0CqkOc4q9oUmW1yo/edit?usp=sharing"",""เพชรบูรณ์!J194"")"),1)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IFERROR(__xludf.DUMMYFUNCTION("IMPORTRANGE(""https://docs.google.com/spreadsheets/d/11923uPwbBZFjjGgGUA6NLw09EwE0CqkOc4q9oUmW1yo/edit?usp=sharing"",""เพชรบูรณ์!I195"")"),20)</f>
        <v>20</v>
      </c>
      <c r="J285" s="198">
        <f ca="1">IFERROR(__xludf.DUMMYFUNCTION("IMPORTRANGE(""https://docs.google.com/spreadsheets/d/11923uPwbBZFjjGgGUA6NLw09EwE0CqkOc4q9oUmW1yo/edit?usp=sharing"",""เพชรบูรณ์!J195"")"),20)</f>
        <v>20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IFERROR(__xludf.DUMMYFUNCTION("IMPORTRANGE(""https://docs.google.com/spreadsheets/d/11923uPwbBZFjjGgGUA6NLw09EwE0CqkOc4q9oUmW1yo/edit?usp=sharing"",""เพชรบูรณ์!J196"")"),0)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IFERROR(__xludf.DUMMYFUNCTION("IMPORTRANGE(""https://docs.google.com/spreadsheets/d/11923uPwbBZFjjGgGUA6NLw09EwE0CqkOc4q9oUmW1yo/edit?usp=sharing"",""เพชรบูรณ์!J197"")"),0)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IFERROR(__xludf.DUMMYFUNCTION("IMPORTRANGE(""https://docs.google.com/spreadsheets/d/11923uPwbBZFjjGgGUA6NLw09EwE0CqkOc4q9oUmW1yo/edit?usp=sharing"",""เพชรบูรณ์!I199"")"),0)</f>
        <v>0</v>
      </c>
      <c r="J289" s="324">
        <f ca="1">IFERROR(__xludf.DUMMYFUNCTION("IMPORTRANGE(""https://docs.google.com/spreadsheets/d/11923uPwbBZFjjGgGUA6NLw09EwE0CqkOc4q9oUmW1yo/edit?usp=sharing"",""เพชรบูรณ์!J199"")"),0)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IFERROR(__xludf.DUMMYFUNCTION("IMPORTRANGE(""https://docs.google.com/spreadsheets/d/1Yj_ptqi66GCucihVvJfMjLAmec39IyEx_6qawtMGysU/edit?usp=sharing"",""สบก!CT29"")"),0)</f>
        <v>0</v>
      </c>
      <c r="N294" s="177">
        <f ca="1">IFERROR(__xludf.DUMMYFUNCTION("IMPORTRANGE(""https://docs.google.com/spreadsheets/d/1Yj_ptqi66GCucihVvJfMjLAmec39IyEx_6qawtMGysU/edit?usp=sharing"",""สบก!CU29"")"),0)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IFERROR(__xludf.DUMMYFUNCTION("IMPORTRANGE(""https://docs.google.com/spreadsheets/d/1Yj_ptqi66GCucihVvJfMjLAmec39IyEx_6qawtMGysU/edit?usp=sharing"",""สบก!CP29"")"),0)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IFERROR(__xludf.DUMMYFUNCTION("IMPORTRANGE(""https://docs.google.com/spreadsheets/d/1Yj_ptqi66GCucihVvJfMjLAmec39IyEx_6qawtMGysU/edit?usp=sharing"",""สบก!CQ29"")"),0)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IFERROR(__xludf.DUMMYFUNCTION("IMPORTRANGE(""https://docs.google.com/spreadsheets/d/1Yj_ptqi66GCucihVvJfMjLAmec39IyEx_6qawtMGysU/edit?usp=sharing"",""สบก!CR29"")"),0)</f>
        <v>0</v>
      </c>
      <c r="M298" s="103"/>
      <c r="N298" s="93">
        <f ca="1">IFERROR(__xludf.DUMMYFUNCTION("IMPORTRANGE(""https://docs.google.com/spreadsheets/d/1Yj_ptqi66GCucihVvJfMjLAmec39IyEx_6qawtMGysU/edit?usp=sharing"",""สบก!CV29"")"),0)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IFERROR(__xludf.DUMMYFUNCTION("IMPORTRANGE(""https://docs.google.com/spreadsheets/d/11923uPwbBZFjjGgGUA6NLw09EwE0CqkOc4q9oUmW1yo/edit?usp=sharing"",""เพชรบูรณ์!J205"")"),0)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IFERROR(__xludf.DUMMYFUNCTION("IMPORTRANGE(""https://docs.google.com/spreadsheets/d/11923uPwbBZFjjGgGUA6NLw09EwE0CqkOc4q9oUmW1yo/edit?usp=sharing"",""เพชรบูรณ์!J206"")"),0)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IFERROR(__xludf.DUMMYFUNCTION("IMPORTRANGE(""https://docs.google.com/spreadsheets/d/11923uPwbBZFjjGgGUA6NLw09EwE0CqkOc4q9oUmW1yo/edit?usp=sharing"",""เพชรบูรณ์!J207"")"),0)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IFERROR(__xludf.DUMMYFUNCTION("IMPORTRANGE(""https://docs.google.com/spreadsheets/d/11923uPwbBZFjjGgGUA6NLw09EwE0CqkOc4q9oUmW1yo/edit?usp=sharing"",""เพชรบูรณ์!J208"")"),0)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IFERROR(__xludf.DUMMYFUNCTION("IMPORTRANGE(""https://docs.google.com/spreadsheets/d/11923uPwbBZFjjGgGUA6NLw09EwE0CqkOc4q9oUmW1yo/edit?usp=sharing"",""เพชรบูรณ์!I209"")"),0)</f>
        <v>0</v>
      </c>
      <c r="J304" s="213">
        <f ca="1">IFERROR(__xludf.DUMMYFUNCTION("IMPORTRANGE(""https://docs.google.com/spreadsheets/d/11923uPwbBZFjjGgGUA6NLw09EwE0CqkOc4q9oUmW1yo/edit?usp=sharing"",""เพชรบูรณ์!J209"")"),0)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IFERROR(__xludf.DUMMYFUNCTION("IMPORTRANGE(""https://docs.google.com/spreadsheets/d/11923uPwbBZFjjGgGUA6NLw09EwE0CqkOc4q9oUmW1yo/edit?usp=sharing"",""เพชรบูรณ์!I211"")"),0)</f>
        <v>0</v>
      </c>
      <c r="J306" s="213">
        <f ca="1">IFERROR(__xludf.DUMMYFUNCTION("IMPORTRANGE(""https://docs.google.com/spreadsheets/d/11923uPwbBZFjjGgGUA6NLw09EwE0CqkOc4q9oUmW1yo/edit?usp=sharing"",""เพชรบูรณ์!J211"")"),0)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IFERROR(__xludf.DUMMYFUNCTION("IMPORTRANGE(""https://docs.google.com/spreadsheets/d/11923uPwbBZFjjGgGUA6NLw09EwE0CqkOc4q9oUmW1yo/edit?usp=sharing"",""เพชรบูรณ์!J212"")"),0)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IFERROR(__xludf.DUMMYFUNCTION("IMPORTRANGE(""https://docs.google.com/spreadsheets/d/11923uPwbBZFjjGgGUA6NLw09EwE0CqkOc4q9oUmW1yo/edit?usp=sharing"",""เพชรบูรณ์!J213"")"),0)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IFERROR(__xludf.DUMMYFUNCTION("IMPORTRANGE(""https://docs.google.com/spreadsheets/d/11923uPwbBZFjjGgGUA6NLw09EwE0CqkOc4q9oUmW1yo/edit?usp=sharing"",""เพชรบูรณ์!I214"")"),0)</f>
        <v>0</v>
      </c>
      <c r="J309" s="341">
        <f ca="1">IFERROR(__xludf.DUMMYFUNCTION("IMPORTRANGE(""https://docs.google.com/spreadsheets/d/11923uPwbBZFjjGgGUA6NLw09EwE0CqkOc4q9oUmW1yo/edit?usp=sharing"",""เพชรบูรณ์!J214"")"),0)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IFERROR(__xludf.DUMMYFUNCTION("IMPORTRANGE(""https://docs.google.com/spreadsheets/d/1Yj_ptqi66GCucihVvJfMjLAmec39IyEx_6qawtMGysU/edit?usp=sharing"",""สบก!DC29"")"),0)</f>
        <v>0</v>
      </c>
      <c r="N314" s="177">
        <f ca="1">IFERROR(__xludf.DUMMYFUNCTION("IMPORTRANGE(""https://docs.google.com/spreadsheets/d/1Yj_ptqi66GCucihVvJfMjLAmec39IyEx_6qawtMGysU/edit?usp=sharing"",""สบก!DD29"")"),0)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IFERROR(__xludf.DUMMYFUNCTION("IMPORTRANGE(""https://docs.google.com/spreadsheets/d/1Yj_ptqi66GCucihVvJfMjLAmec39IyEx_6qawtMGysU/edit?usp=sharing"",""สบก!CY29"")"),0)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IFERROR(__xludf.DUMMYFUNCTION("IMPORTRANGE(""https://docs.google.com/spreadsheets/d/1Yj_ptqi66GCucihVvJfMjLAmec39IyEx_6qawtMGysU/edit?usp=sharing"",""สบก!CZ29"")"),0)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IFERROR(__xludf.DUMMYFUNCTION("IMPORTRANGE(""https://docs.google.com/spreadsheets/d/1Yj_ptqi66GCucihVvJfMjLAmec39IyEx_6qawtMGysU/edit?usp=sharing"",""สบก!DA29"")"),0)</f>
        <v>0</v>
      </c>
      <c r="M318" s="103"/>
      <c r="N318" s="93">
        <f ca="1">IFERROR(__xludf.DUMMYFUNCTION("IMPORTRANGE(""https://docs.google.com/spreadsheets/d/1Yj_ptqi66GCucihVvJfMjLAmec39IyEx_6qawtMGysU/edit?usp=sharing"",""สบก!DE29"")"),0)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IFERROR(__xludf.DUMMYFUNCTION("IMPORTRANGE(""https://docs.google.com/spreadsheets/d/11923uPwbBZFjjGgGUA6NLw09EwE0CqkOc4q9oUmW1yo/edit?usp=sharing"",""เพชรบูรณ์!J220"")"),0)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IFERROR(__xludf.DUMMYFUNCTION("IMPORTRANGE(""https://docs.google.com/spreadsheets/d/11923uPwbBZFjjGgGUA6NLw09EwE0CqkOc4q9oUmW1yo/edit?usp=sharing"",""เพชรบูรณ์!J221"")"),0)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IFERROR(__xludf.DUMMYFUNCTION("IMPORTRANGE(""https://docs.google.com/spreadsheets/d/11923uPwbBZFjjGgGUA6NLw09EwE0CqkOc4q9oUmW1yo/edit?usp=sharing"",""เพชรบูรณ์!J222"")"),0)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IFERROR(__xludf.DUMMYFUNCTION("IMPORTRANGE(""https://docs.google.com/spreadsheets/d/11923uPwbBZFjjGgGUA6NLw09EwE0CqkOc4q9oUmW1yo/edit?usp=sharing"",""เพชรบูรณ์!J223"")"),0)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IFERROR(__xludf.DUMMYFUNCTION("IMPORTRANGE(""https://docs.google.com/spreadsheets/d/11923uPwbBZFjjGgGUA6NLw09EwE0CqkOc4q9oUmW1yo/edit?usp=sharing"",""เพชรบูรณ์!I224"")"),0)</f>
        <v>0</v>
      </c>
      <c r="J324" s="213">
        <f ca="1">IFERROR(__xludf.DUMMYFUNCTION("IMPORTRANGE(""https://docs.google.com/spreadsheets/d/11923uPwbBZFjjGgGUA6NLw09EwE0CqkOc4q9oUmW1yo/edit?usp=sharing"",""เพชรบูรณ์!J224"")"),0)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IFERROR(__xludf.DUMMYFUNCTION("IMPORTRANGE(""https://docs.google.com/spreadsheets/d/11923uPwbBZFjjGgGUA6NLw09EwE0CqkOc4q9oUmW1yo/edit?usp=sharing"",""เพชรบูรณ์!J225"")"),0)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IFERROR(__xludf.DUMMYFUNCTION("IMPORTRANGE(""https://docs.google.com/spreadsheets/d/11923uPwbBZFjjGgGUA6NLw09EwE0CqkOc4q9oUmW1yo/edit?usp=sharing"",""เพชรบูรณ์!J226"")"),0)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IFERROR(__xludf.DUMMYFUNCTION("IMPORTRANGE(""https://docs.google.com/spreadsheets/d/11923uPwbBZFjjGgGUA6NLw09EwE0CqkOc4q9oUmW1yo/edit?usp=sharing"",""เพชรบูรณ์!I228"")"),610)</f>
        <v>610</v>
      </c>
      <c r="J328" s="347">
        <f ca="1">IFERROR(__xludf.DUMMYFUNCTION("IMPORTRANGE(""https://docs.google.com/spreadsheets/d/11923uPwbBZFjjGgGUA6NLw09EwE0CqkOc4q9oUmW1yo/edit?usp=sharing"",""เพชรบูรณ์!J228"")"),38)</f>
        <v>38</v>
      </c>
      <c r="K328" s="325">
        <f ca="1">IF(I328&gt;0,J328*100/I328,0)</f>
        <v>6.2295081967213113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1209740</v>
      </c>
      <c r="M329" s="158">
        <f t="shared" ca="1" si="98"/>
        <v>667560</v>
      </c>
      <c r="N329" s="158">
        <f t="shared" ca="1" si="98"/>
        <v>491903</v>
      </c>
      <c r="O329" s="157">
        <f t="shared" ref="O329:O331" ca="1" si="99">IF(L329&gt;0,N329*100/L329,0)</f>
        <v>40.661877758857273</v>
      </c>
      <c r="P329" s="157">
        <f t="shared" ref="P329:P331" ca="1" si="100">IF(M329&gt;0,N329*100/M329,0)</f>
        <v>73.686709808856136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1209740</v>
      </c>
      <c r="M331" s="163">
        <f t="shared" ca="1" si="102"/>
        <v>667560</v>
      </c>
      <c r="N331" s="163">
        <f t="shared" ca="1" si="102"/>
        <v>491903</v>
      </c>
      <c r="O331" s="162">
        <f t="shared" ca="1" si="99"/>
        <v>40.661877758857273</v>
      </c>
      <c r="P331" s="162">
        <f t="shared" ca="1" si="100"/>
        <v>73.686709808856136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1144940</v>
      </c>
      <c r="M333" s="176">
        <f ca="1">IFERROR(__xludf.DUMMYFUNCTION("IMPORTRANGE(""https://docs.google.com/spreadsheets/d/1Yj_ptqi66GCucihVvJfMjLAmec39IyEx_6qawtMGysU/edit?usp=sharing"",""สบก!DL29"")"),667560)</f>
        <v>667560</v>
      </c>
      <c r="N333" s="177">
        <f ca="1">IFERROR(__xludf.DUMMYFUNCTION("IMPORTRANGE(""https://docs.google.com/spreadsheets/d/1Yj_ptqi66GCucihVvJfMjLAmec39IyEx_6qawtMGysU/edit?usp=sharing"",""สบก!DM29"")"),427103)</f>
        <v>427103</v>
      </c>
      <c r="O333" s="178">
        <f ca="1">IF(L333&gt;0,N333*100/L333,0)</f>
        <v>37.303526822366237</v>
      </c>
      <c r="P333" s="178">
        <f ca="1">IF(M333&gt;0,N333*100/M333,0)</f>
        <v>63.979717178980167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IFERROR(__xludf.DUMMYFUNCTION("IMPORTRANGE(""https://docs.google.com/spreadsheets/d/1Yj_ptqi66GCucihVvJfMjLAmec39IyEx_6qawtMGysU/edit?usp=sharing"",""สบก!DH29"")"),306000)</f>
        <v>306000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IFERROR(__xludf.DUMMYFUNCTION("IMPORTRANGE(""https://docs.google.com/spreadsheets/d/1Yj_ptqi66GCucihVvJfMjLAmec39IyEx_6qawtMGysU/edit?usp=sharing"",""สบก!DI29"")"),838940)</f>
        <v>838940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IFERROR(__xludf.DUMMYFUNCTION("IMPORTRANGE(""https://docs.google.com/spreadsheets/d/1Yj_ptqi66GCucihVvJfMjLAmec39IyEx_6qawtMGysU/edit?usp=sharing"",""สบก!DJ29"")"),64800)</f>
        <v>64800</v>
      </c>
      <c r="M337" s="103"/>
      <c r="N337" s="93">
        <f ca="1">IFERROR(__xludf.DUMMYFUNCTION("IMPORTRANGE(""https://docs.google.com/spreadsheets/d/1Yj_ptqi66GCucihVvJfMjLAmec39IyEx_6qawtMGysU/edit?usp=sharing"",""สบก!DN29"")"),64800)</f>
        <v>64800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IFERROR(__xludf.DUMMYFUNCTION("IMPORTRANGE(""https://docs.google.com/spreadsheets/d/11923uPwbBZFjjGgGUA6NLw09EwE0CqkOc4q9oUmW1yo/edit?usp=sharing"",""เพชรบูรณ์!I234"")"),0)</f>
        <v>0</v>
      </c>
      <c r="J339" s="197">
        <f ca="1">IFERROR(__xludf.DUMMYFUNCTION("IMPORTRANGE(""https://docs.google.com/spreadsheets/d/11923uPwbBZFjjGgGUA6NLw09EwE0CqkOc4q9oUmW1yo/edit?usp=sharing"",""เพชรบูรณ์!J234"")"),145)</f>
        <v>145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IFERROR(__xludf.DUMMYFUNCTION("IMPORTRANGE(""https://docs.google.com/spreadsheets/d/11923uPwbBZFjjGgGUA6NLw09EwE0CqkOc4q9oUmW1yo/edit?usp=sharing"",""เพชรบูรณ์!I235"")"),5920)</f>
        <v>5920</v>
      </c>
      <c r="J340" s="197">
        <f ca="1">IFERROR(__xludf.DUMMYFUNCTION("IMPORTRANGE(""https://docs.google.com/spreadsheets/d/11923uPwbBZFjjGgGUA6NLw09EwE0CqkOc4q9oUmW1yo/edit?usp=sharing"",""เพชรบูรณ์!J235"")"),1585.38)</f>
        <v>1585.38</v>
      </c>
      <c r="K340" s="350">
        <f t="shared" ca="1" si="103"/>
        <v>26.780067567567567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IFERROR(__xludf.DUMMYFUNCTION("IMPORTRANGE(""https://docs.google.com/spreadsheets/d/11923uPwbBZFjjGgGUA6NLw09EwE0CqkOc4q9oUmW1yo/edit?usp=sharing"",""เพชรบูรณ์!I236"")"),610)</f>
        <v>610</v>
      </c>
      <c r="J341" s="197">
        <f ca="1">IFERROR(__xludf.DUMMYFUNCTION("IMPORTRANGE(""https://docs.google.com/spreadsheets/d/11923uPwbBZFjjGgGUA6NLw09EwE0CqkOc4q9oUmW1yo/edit?usp=sharing"",""เพชรบูรณ์!J236"")"),188)</f>
        <v>188</v>
      </c>
      <c r="K341" s="350">
        <f t="shared" ca="1" si="103"/>
        <v>30.819672131147541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IFERROR(__xludf.DUMMYFUNCTION("IMPORTRANGE(""https://docs.google.com/spreadsheets/d/11923uPwbBZFjjGgGUA6NLw09EwE0CqkOc4q9oUmW1yo/edit?usp=sharing"",""เพชรบูรณ์!I237"")"),0)</f>
        <v>0</v>
      </c>
      <c r="J342" s="197">
        <f ca="1">IFERROR(__xludf.DUMMYFUNCTION("IMPORTRANGE(""https://docs.google.com/spreadsheets/d/11923uPwbBZFjjGgGUA6NLw09EwE0CqkOc4q9oUmW1yo/edit?usp=sharing"",""เพชรบูรณ์!J237"")"),2691.75)</f>
        <v>2691.75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IFERROR(__xludf.DUMMYFUNCTION("IMPORTRANGE(""https://docs.google.com/spreadsheets/d/11923uPwbBZFjjGgGUA6NLw09EwE0CqkOc4q9oUmW1yo/edit?usp=sharing"",""เพชรบูรณ์!I238"")"),610)</f>
        <v>610</v>
      </c>
      <c r="J343" s="197">
        <f ca="1">IFERROR(__xludf.DUMMYFUNCTION("IMPORTRANGE(""https://docs.google.com/spreadsheets/d/11923uPwbBZFjjGgGUA6NLw09EwE0CqkOc4q9oUmW1yo/edit?usp=sharing"",""เพชรบูรณ์!J238"")"),38)</f>
        <v>38</v>
      </c>
      <c r="K343" s="350">
        <f t="shared" ca="1" si="103"/>
        <v>6.2295081967213113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IFERROR(__xludf.DUMMYFUNCTION("IMPORTRANGE(""https://docs.google.com/spreadsheets/d/11923uPwbBZFjjGgGUA6NLw09EwE0CqkOc4q9oUmW1yo/edit?usp=sharing"",""เพชรบูรณ์!I239"")"),0)</f>
        <v>0</v>
      </c>
      <c r="J344" s="197">
        <f ca="1">IFERROR(__xludf.DUMMYFUNCTION("IMPORTRANGE(""https://docs.google.com/spreadsheets/d/11923uPwbBZFjjGgGUA6NLw09EwE0CqkOc4q9oUmW1yo/edit?usp=sharing"",""เพชรบูรณ์!J239"")"),402.8)</f>
        <v>402.8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IFERROR(__xludf.DUMMYFUNCTION("IMPORTRANGE(""https://docs.google.com/spreadsheets/d/11923uPwbBZFjjGgGUA6NLw09EwE0CqkOc4q9oUmW1yo/edit?usp=sharing"",""เพชรบูรณ์!I240"")"),610)</f>
        <v>610</v>
      </c>
      <c r="J345" s="197">
        <f ca="1">IFERROR(__xludf.DUMMYFUNCTION("IMPORTRANGE(""https://docs.google.com/spreadsheets/d/11923uPwbBZFjjGgGUA6NLw09EwE0CqkOc4q9oUmW1yo/edit?usp=sharing"",""เพชรบูรณ์!J240"")"),38)</f>
        <v>38</v>
      </c>
      <c r="K345" s="350">
        <f t="shared" ca="1" si="103"/>
        <v>6.2295081967213113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IFERROR(__xludf.DUMMYFUNCTION("IMPORTRANGE(""https://docs.google.com/spreadsheets/d/11923uPwbBZFjjGgGUA6NLw09EwE0CqkOc4q9oUmW1yo/edit?usp=sharing"",""เพชรบูรณ์!I241"")"),0)</f>
        <v>0</v>
      </c>
      <c r="J346" s="197">
        <f ca="1">IFERROR(__xludf.DUMMYFUNCTION("IMPORTRANGE(""https://docs.google.com/spreadsheets/d/11923uPwbBZFjjGgGUA6NLw09EwE0CqkOc4q9oUmW1yo/edit?usp=sharing"",""เพชรบูรณ์!J241"")"),402.8)</f>
        <v>402.8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IFERROR(__xludf.DUMMYFUNCTION("IMPORTRANGE(""https://docs.google.com/spreadsheets/d/11923uPwbBZFjjGgGUA6NLw09EwE0CqkOc4q9oUmW1yo/edit?usp=sharing"",""เพชรบูรณ์!L242"")"),3149956)</f>
        <v>3149956</v>
      </c>
      <c r="M347" s="366"/>
      <c r="N347" s="366">
        <f ca="1">IFERROR(__xludf.DUMMYFUNCTION("IMPORTRANGE(""https://docs.google.com/spreadsheets/d/11923uPwbBZFjjGgGUA6NLw09EwE0CqkOc4q9oUmW1yo/edit?usp=sharing"",""เพชรบูรณ์!M242"")"),583922.96)</f>
        <v>583922.96</v>
      </c>
      <c r="O347" s="366">
        <f ca="1">+IF(L347&gt;0,N347*100/L347,0)</f>
        <v>18.537495761845562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IFERROR(__xludf.DUMMYFUNCTION("IMPORTRANGE(""https://docs.google.com/spreadsheets/d/11923uPwbBZFjjGgGUA6NLw09EwE0CqkOc4q9oUmW1yo/edit?usp=sharing"",""เพชรบูรณ์!I244"")"),425)</f>
        <v>425</v>
      </c>
      <c r="J349" s="379">
        <f ca="1">IFERROR(__xludf.DUMMYFUNCTION("IMPORTRANGE(""https://docs.google.com/spreadsheets/d/11923uPwbBZFjjGgGUA6NLw09EwE0CqkOc4q9oUmW1yo/edit?usp=sharing"",""เพชรบูรณ์!J244"")"),0)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IFERROR(__xludf.DUMMYFUNCTION("IMPORTRANGE(""https://docs.google.com/spreadsheets/d/11923uPwbBZFjjGgGUA6NLw09EwE0CqkOc4q9oUmW1yo/edit?usp=sharing"",""เพชรบูรณ์!L244"")"),664130)</f>
        <v>664130</v>
      </c>
      <c r="M349" s="381"/>
      <c r="N349" s="381">
        <f ca="1">IFERROR(__xludf.DUMMYFUNCTION("IMPORTRANGE(""https://docs.google.com/spreadsheets/d/11923uPwbBZFjjGgGUA6NLw09EwE0CqkOc4q9oUmW1yo/edit?usp=sharing"",""เพชรบูรณ์!M244"")"),183784)</f>
        <v>183784</v>
      </c>
      <c r="O349" s="381">
        <f ca="1">+IF(L349&gt;0,N349*100/L349,0)</f>
        <v>27.672895366870943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IFERROR(__xludf.DUMMYFUNCTION("IMPORTRANGE(""https://docs.google.com/spreadsheets/d/11923uPwbBZFjjGgGUA6NLw09EwE0CqkOc4q9oUmW1yo/edit?usp=sharing"",""เพชรบูรณ์!I245"")"),95)</f>
        <v>95</v>
      </c>
      <c r="J350" s="379">
        <f ca="1">IFERROR(__xludf.DUMMYFUNCTION("IMPORTRANGE(""https://docs.google.com/spreadsheets/d/11923uPwbBZFjjGgGUA6NLw09EwE0CqkOc4q9oUmW1yo/edit?usp=sharing"",""เพชรบูรณ์!J245"")"),95)</f>
        <v>95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IFERROR(__xludf.DUMMYFUNCTION("IMPORTRANGE(""https://docs.google.com/spreadsheets/d/11923uPwbBZFjjGgGUA6NLw09EwE0CqkOc4q9oUmW1yo/edit?usp=sharing"",""เพชรบูรณ์!L246"")"),0)</f>
        <v>0</v>
      </c>
      <c r="M351" s="172"/>
      <c r="N351" s="172">
        <f ca="1">IFERROR(__xludf.DUMMYFUNCTION("IMPORTRANGE(""https://docs.google.com/spreadsheets/d/11923uPwbBZFjjGgGUA6NLw09EwE0CqkOc4q9oUmW1yo/edit?usp=sharing"",""เพชรบูรณ์!M246"")"),0)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IFERROR(__xludf.DUMMYFUNCTION("IMPORTRANGE(""https://docs.google.com/spreadsheets/d/11923uPwbBZFjjGgGUA6NLw09EwE0CqkOc4q9oUmW1yo/edit?usp=sharing"",""เพชรบูรณ์!L247"")"),664130)</f>
        <v>664130</v>
      </c>
      <c r="M352" s="173"/>
      <c r="N352" s="172">
        <f ca="1">IFERROR(__xludf.DUMMYFUNCTION("IMPORTRANGE(""https://docs.google.com/spreadsheets/d/11923uPwbBZFjjGgGUA6NLw09EwE0CqkOc4q9oUmW1yo/edit?usp=sharing"",""เพชรบูรณ์!M247"")"),183784)</f>
        <v>183784</v>
      </c>
      <c r="O352" s="173">
        <f t="shared" ca="1" si="105"/>
        <v>27.672895366870943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IFERROR(__xludf.DUMMYFUNCTION("IMPORTRANGE(""https://docs.google.com/spreadsheets/d/11923uPwbBZFjjGgGUA6NLw09EwE0CqkOc4q9oUmW1yo/edit?usp=sharing"",""เพชรบูรณ์!L248"")"),0)</f>
        <v>0</v>
      </c>
      <c r="M353" s="178"/>
      <c r="N353" s="178">
        <f ca="1">IFERROR(__xludf.DUMMYFUNCTION("IMPORTRANGE(""https://docs.google.com/spreadsheets/d/11923uPwbBZFjjGgGUA6NLw09EwE0CqkOc4q9oUmW1yo/edit?usp=sharing"",""เพชรบูรณ์!M248"")"),0)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IFERROR(__xludf.DUMMYFUNCTION("IMPORTRANGE(""https://docs.google.com/spreadsheets/d/11923uPwbBZFjjGgGUA6NLw09EwE0CqkOc4q9oUmW1yo/edit?usp=sharing"",""เพชรบูรณ์!L249"")"),664130)</f>
        <v>664130</v>
      </c>
      <c r="M354" s="178"/>
      <c r="N354" s="175">
        <f ca="1">IFERROR(__xludf.DUMMYFUNCTION("IMPORTRANGE(""https://docs.google.com/spreadsheets/d/11923uPwbBZFjjGgGUA6NLw09EwE0CqkOc4q9oUmW1yo/edit?usp=sharing"",""เพชรบูรณ์!M249"")"),183784)</f>
        <v>183784</v>
      </c>
      <c r="O354" s="178">
        <f t="shared" ca="1" si="105"/>
        <v>27.672895366870943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IFERROR(__xludf.DUMMYFUNCTION("IMPORTRANGE(""https://docs.google.com/spreadsheets/d/11923uPwbBZFjjGgGUA6NLw09EwE0CqkOc4q9oUmW1yo/edit?usp=sharing"",""เพชรบูรณ์!M250"")"),112334)</f>
        <v>112334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IFERROR(__xludf.DUMMYFUNCTION("IMPORTRANGE(""https://docs.google.com/spreadsheets/d/11923uPwbBZFjjGgGUA6NLw09EwE0CqkOc4q9oUmW1yo/edit?usp=sharing"",""เพชรบูรณ์!M251"")"),0)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IFERROR(__xludf.DUMMYFUNCTION("IMPORTRANGE(""https://docs.google.com/spreadsheets/d/11923uPwbBZFjjGgGUA6NLw09EwE0CqkOc4q9oUmW1yo/edit?usp=sharing"",""เพชรบูรณ์!M252"")"),43248)</f>
        <v>43248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IFERROR(__xludf.DUMMYFUNCTION("IMPORTRANGE(""https://docs.google.com/spreadsheets/d/11923uPwbBZFjjGgGUA6NLw09EwE0CqkOc4q9oUmW1yo/edit?usp=sharing"",""เพชรบูรณ์!M253"")"),28202)</f>
        <v>28202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IFERROR(__xludf.DUMMYFUNCTION("IMPORTRANGE(""https://docs.google.com/spreadsheets/d/11923uPwbBZFjjGgGUA6NLw09EwE0CqkOc4q9oUmW1yo/edit?usp=sharing"",""เพชรบูรณ์!J255"")"),0)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IFERROR(__xludf.DUMMYFUNCTION("IMPORTRANGE(""https://docs.google.com/spreadsheets/d/11923uPwbBZFjjGgGUA6NLw09EwE0CqkOc4q9oUmW1yo/edit?usp=sharing"",""เพชรบูรณ์!J256"")"),1)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IFERROR(__xludf.DUMMYFUNCTION("IMPORTRANGE(""https://docs.google.com/spreadsheets/d/11923uPwbBZFjjGgGUA6NLw09EwE0CqkOc4q9oUmW1yo/edit?usp=sharing"",""เพชรบูรณ์!J257"")"),1)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IFERROR(__xludf.DUMMYFUNCTION("IMPORTRANGE(""https://docs.google.com/spreadsheets/d/11923uPwbBZFjjGgGUA6NLw09EwE0CqkOc4q9oUmW1yo/edit?usp=sharing"",""เพชรบูรณ์!J258"")"),1)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IFERROR(__xludf.DUMMYFUNCTION("IMPORTRANGE(""https://docs.google.com/spreadsheets/d/11923uPwbBZFjjGgGUA6NLw09EwE0CqkOc4q9oUmW1yo/edit?usp=sharing"",""เพชรบูรณ์!J166"")"),0)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IFERROR(__xludf.DUMMYFUNCTION("IMPORTRANGE(""https://docs.google.com/spreadsheets/d/11923uPwbBZFjjGgGUA6NLw09EwE0CqkOc4q9oUmW1yo/edit?usp=sharing"",""เพชรบูรณ์!J166"")"),0)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IFERROR(__xludf.DUMMYFUNCTION("IMPORTRANGE(""https://docs.google.com/spreadsheets/d/11923uPwbBZFjjGgGUA6NLw09EwE0CqkOc4q9oUmW1yo/edit?usp=sharing"",""เพชรบูรณ์!J166"")"),0)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IFERROR(__xludf.DUMMYFUNCTION("IMPORTRANGE(""https://docs.google.com/spreadsheets/d/11923uPwbBZFjjGgGUA6NLw09EwE0CqkOc4q9oUmW1yo/edit?usp=sharing"",""เพชรบูรณ์!J166"")"),0)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IFERROR(__xludf.DUMMYFUNCTION("IMPORTRANGE(""https://docs.google.com/spreadsheets/d/11923uPwbBZFjjGgGUA6NLw09EwE0CqkOc4q9oUmW1yo/edit?usp=sharing"",""เพชรบูรณ์!I263"")"),95)</f>
        <v>95</v>
      </c>
      <c r="J368" s="197">
        <f ca="1">IFERROR(__xludf.DUMMYFUNCTION("IMPORTRANGE(""https://docs.google.com/spreadsheets/d/11923uPwbBZFjjGgGUA6NLw09EwE0CqkOc4q9oUmW1yo/edit?usp=sharing"",""เพชรบูรณ์!J263"")"),95)</f>
        <v>95</v>
      </c>
      <c r="K368" s="171">
        <f t="shared" ca="1" si="106"/>
        <v>100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IFERROR(__xludf.DUMMYFUNCTION("IMPORTRANGE(""https://docs.google.com/spreadsheets/d/11923uPwbBZFjjGgGUA6NLw09EwE0CqkOc4q9oUmW1yo/edit?usp=sharing"",""เพชรบูรณ์!I164"")"),0)</f>
        <v>0</v>
      </c>
      <c r="J369" s="213">
        <f ca="1">IFERROR(__xludf.DUMMYFUNCTION("IMPORTRANGE(""https://docs.google.com/spreadsheets/d/11923uPwbBZFjjGgGUA6NLw09EwE0CqkOc4q9oUmW1yo/edit?usp=sharing"",""เพชรบูรณ์!J164"")"),0)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IFERROR(__xludf.DUMMYFUNCTION("IMPORTRANGE(""https://docs.google.com/spreadsheets/d/11923uPwbBZFjjGgGUA6NLw09EwE0CqkOc4q9oUmW1yo/edit?usp=sharing"",""เพชรบูรณ์!I265"")"),95)</f>
        <v>95</v>
      </c>
      <c r="J370" s="213">
        <f ca="1">IFERROR(__xludf.DUMMYFUNCTION("IMPORTRANGE(""https://docs.google.com/spreadsheets/d/11923uPwbBZFjjGgGUA6NLw09EwE0CqkOc4q9oUmW1yo/edit?usp=sharing"",""เพชรบูรณ์!J265"")"),95)</f>
        <v>95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IFERROR(__xludf.DUMMYFUNCTION("IMPORTRANGE(""https://docs.google.com/spreadsheets/d/11923uPwbBZFjjGgGUA6NLw09EwE0CqkOc4q9oUmW1yo/edit?usp=sharing"",""เพชรบูรณ์!I164"")"),0)</f>
        <v>0</v>
      </c>
      <c r="J371" s="198">
        <f ca="1">IFERROR(__xludf.DUMMYFUNCTION("IMPORTRANGE(""https://docs.google.com/spreadsheets/d/11923uPwbBZFjjGgGUA6NLw09EwE0CqkOc4q9oUmW1yo/edit?usp=sharing"",""เพชรบูรณ์!J164"")"),0)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IFERROR(__xludf.DUMMYFUNCTION("IMPORTRANGE(""https://docs.google.com/spreadsheets/d/11923uPwbBZFjjGgGUA6NLw09EwE0CqkOc4q9oUmW1yo/edit?usp=sharing"",""เพชรบูรณ์!I267"")"),95)</f>
        <v>95</v>
      </c>
      <c r="J372" s="198">
        <f ca="1">IFERROR(__xludf.DUMMYFUNCTION("IMPORTRANGE(""https://docs.google.com/spreadsheets/d/11923uPwbBZFjjGgGUA6NLw09EwE0CqkOc4q9oUmW1yo/edit?usp=sharing"",""เพชรบูรณ์!J267"")"),95)</f>
        <v>95</v>
      </c>
      <c r="K372" s="171">
        <f t="shared" ca="1" si="106"/>
        <v>100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IFERROR(__xludf.DUMMYFUNCTION("IMPORTRANGE(""https://docs.google.com/spreadsheets/d/11923uPwbBZFjjGgGUA6NLw09EwE0CqkOc4q9oUmW1yo/edit?usp=sharing"",""เพชรบูรณ์!I164"")"),0)</f>
        <v>0</v>
      </c>
      <c r="J373" s="213">
        <f ca="1">IFERROR(__xludf.DUMMYFUNCTION("IMPORTRANGE(""https://docs.google.com/spreadsheets/d/11923uPwbBZFjjGgGUA6NLw09EwE0CqkOc4q9oUmW1yo/edit?usp=sharing"",""เพชรบูรณ์!J164"")"),0)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IFERROR(__xludf.DUMMYFUNCTION("IMPORTRANGE(""https://docs.google.com/spreadsheets/d/11923uPwbBZFjjGgGUA6NLw09EwE0CqkOc4q9oUmW1yo/edit?usp=sharing"",""เพชรบูรณ์!I164"")"),0)</f>
        <v>0</v>
      </c>
      <c r="J374" s="197">
        <f ca="1">IFERROR(__xludf.DUMMYFUNCTION("IMPORTRANGE(""https://docs.google.com/spreadsheets/d/11923uPwbBZFjjGgGUA6NLw09EwE0CqkOc4q9oUmW1yo/edit?usp=sharing"",""เพชรบูรณ์!J164"")"),0)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IFERROR(__xludf.DUMMYFUNCTION("IMPORTRANGE(""https://docs.google.com/spreadsheets/d/11923uPwbBZFjjGgGUA6NLw09EwE0CqkOc4q9oUmW1yo/edit?usp=sharing"",""เพชรบูรณ์!I270"")"),425)</f>
        <v>425</v>
      </c>
      <c r="J375" s="197">
        <f ca="1">IFERROR(__xludf.DUMMYFUNCTION("IMPORTRANGE(""https://docs.google.com/spreadsheets/d/11923uPwbBZFjjGgGUA6NLw09EwE0CqkOc4q9oUmW1yo/edit?usp=sharing"",""เพชรบูรณ์!J270"")"),0)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IFERROR(__xludf.DUMMYFUNCTION("IMPORTRANGE(""https://docs.google.com/spreadsheets/d/11923uPwbBZFjjGgGUA6NLw09EwE0CqkOc4q9oUmW1yo/edit?usp=sharing"",""เพชรบูรณ์!I271"")"),150)</f>
        <v>150</v>
      </c>
      <c r="J376" s="198">
        <f ca="1">IFERROR(__xludf.DUMMYFUNCTION("IMPORTRANGE(""https://docs.google.com/spreadsheets/d/11923uPwbBZFjjGgGUA6NLw09EwE0CqkOc4q9oUmW1yo/edit?usp=sharing"",""เพชรบูรณ์!J271"")"),0)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IFERROR(__xludf.DUMMYFUNCTION("IMPORTRANGE(""https://docs.google.com/spreadsheets/d/11923uPwbBZFjjGgGUA6NLw09EwE0CqkOc4q9oUmW1yo/edit?usp=sharing"",""เพชรบูรณ์!I272"")"),275)</f>
        <v>275</v>
      </c>
      <c r="J377" s="213">
        <f ca="1">IFERROR(__xludf.DUMMYFUNCTION("IMPORTRANGE(""https://docs.google.com/spreadsheets/d/11923uPwbBZFjjGgGUA6NLw09EwE0CqkOc4q9oUmW1yo/edit?usp=sharing"",""เพชรบูรณ์!J272"")"),0)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IFERROR(__xludf.DUMMYFUNCTION("IMPORTRANGE(""https://docs.google.com/spreadsheets/d/11923uPwbBZFjjGgGUA6NLw09EwE0CqkOc4q9oUmW1yo/edit?usp=sharing"",""เพชรบูรณ์!J273"")"),0)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IFERROR(__xludf.DUMMYFUNCTION("IMPORTRANGE(""https://docs.google.com/spreadsheets/d/11923uPwbBZFjjGgGUA6NLw09EwE0CqkOc4q9oUmW1yo/edit?usp=sharing"",""เพชรบูรณ์!J274"")"),0)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IFERROR(__xludf.DUMMYFUNCTION("IMPORTRANGE(""https://docs.google.com/spreadsheets/d/11923uPwbBZFjjGgGUA6NLw09EwE0CqkOc4q9oUmW1yo/edit?usp=sharing"",""เพชรบูรณ์!I275"")"),1000)</f>
        <v>1000</v>
      </c>
      <c r="J380" s="379">
        <f ca="1">IFERROR(__xludf.DUMMYFUNCTION("IMPORTRANGE(""https://docs.google.com/spreadsheets/d/11923uPwbBZFjjGgGUA6NLw09EwE0CqkOc4q9oUmW1yo/edit?usp=sharing"",""เพชรบูรณ์!J275"")"),0)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IFERROR(__xludf.DUMMYFUNCTION("IMPORTRANGE(""https://docs.google.com/spreadsheets/d/11923uPwbBZFjjGgGUA6NLw09EwE0CqkOc4q9oUmW1yo/edit?usp=sharing"",""เพชรบูรณ์!L275"")"),1028520)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IFERROR(__xludf.DUMMYFUNCTION("IMPORTRANGE(""https://docs.google.com/spreadsheets/d/11923uPwbBZFjjGgGUA6NLw09EwE0CqkOc4q9oUmW1yo/edit?usp=sharing"",""เพชรบูรณ์!M275"")"),85601)</f>
        <v>85601</v>
      </c>
      <c r="O380" s="381">
        <f ca="1">+IF(L380&gt;0,N380*100/L380,0)</f>
        <v>8.3227355812235064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IFERROR(__xludf.DUMMYFUNCTION("IMPORTRANGE(""https://docs.google.com/spreadsheets/d/11923uPwbBZFjjGgGUA6NLw09EwE0CqkOc4q9oUmW1yo/edit?usp=sharing"",""เพชรบูรณ์!I276"")"),100)</f>
        <v>100</v>
      </c>
      <c r="J381" s="379">
        <f ca="1">IFERROR(__xludf.DUMMYFUNCTION("IMPORTRANGE(""https://docs.google.com/spreadsheets/d/11923uPwbBZFjjGgGUA6NLw09EwE0CqkOc4q9oUmW1yo/edit?usp=sharing"",""เพชรบูรณ์!J276"")"),0)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IFERROR(__xludf.DUMMYFUNCTION("IMPORTRANGE(""https://docs.google.com/spreadsheets/d/11923uPwbBZFjjGgGUA6NLw09EwE0CqkOc4q9oUmW1yo/edit?usp=sharing"",""เพชรบูรณ์!L277"")"),0)</f>
        <v>0</v>
      </c>
      <c r="M382" s="172"/>
      <c r="N382" s="172">
        <f ca="1">IFERROR(__xludf.DUMMYFUNCTION("IMPORTRANGE(""https://docs.google.com/spreadsheets/d/11923uPwbBZFjjGgGUA6NLw09EwE0CqkOc4q9oUmW1yo/edit?usp=sharing"",""เพชรบูรณ์!M277"")"),0)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IFERROR(__xludf.DUMMYFUNCTION("IMPORTRANGE(""https://docs.google.com/spreadsheets/d/11923uPwbBZFjjGgGUA6NLw09EwE0CqkOc4q9oUmW1yo/edit?usp=sharing"",""เพชรบูรณ์!L278"")"),1028520)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IFERROR(__xludf.DUMMYFUNCTION("IMPORTRANGE(""https://docs.google.com/spreadsheets/d/11923uPwbBZFjjGgGUA6NLw09EwE0CqkOc4q9oUmW1yo/edit?usp=sharing"",""เพชรบูรณ์!M278"")"),85601)</f>
        <v>85601</v>
      </c>
      <c r="O383" s="173">
        <f t="shared" ca="1" si="109"/>
        <v>8.3227355812235064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IFERROR(__xludf.DUMMYFUNCTION("IMPORTRANGE(""https://docs.google.com/spreadsheets/d/11923uPwbBZFjjGgGUA6NLw09EwE0CqkOc4q9oUmW1yo/edit?usp=sharing"",""เพชรบูรณ์!L279"")"),0)</f>
        <v>0</v>
      </c>
      <c r="M384" s="178"/>
      <c r="N384" s="178">
        <f ca="1">IFERROR(__xludf.DUMMYFUNCTION("IMPORTRANGE(""https://docs.google.com/spreadsheets/d/11923uPwbBZFjjGgGUA6NLw09EwE0CqkOc4q9oUmW1yo/edit?usp=sharing"",""เพชรบูรณ์!M279"")"),0)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IFERROR(__xludf.DUMMYFUNCTION("IMPORTRANGE(""https://docs.google.com/spreadsheets/d/11923uPwbBZFjjGgGUA6NLw09EwE0CqkOc4q9oUmW1yo/edit?usp=sharing"",""เพชรบูรณ์!L280"")"),1028520)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IFERROR(__xludf.DUMMYFUNCTION("IMPORTRANGE(""https://docs.google.com/spreadsheets/d/11923uPwbBZFjjGgGUA6NLw09EwE0CqkOc4q9oUmW1yo/edit?usp=sharing"",""เพชรบูรณ์!M280"")"),85601)</f>
        <v>85601</v>
      </c>
      <c r="O385" s="178">
        <f t="shared" ca="1" si="109"/>
        <v>8.3227355812235064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IFERROR(__xludf.DUMMYFUNCTION("IMPORTRANGE(""https://docs.google.com/spreadsheets/d/11923uPwbBZFjjGgGUA6NLw09EwE0CqkOc4q9oUmW1yo/edit?usp=sharing"",""เพชรบูรณ์!M281"")"),23708)</f>
        <v>23708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IFERROR(__xludf.DUMMYFUNCTION("IMPORTRANGE(""https://docs.google.com/spreadsheets/d/11923uPwbBZFjjGgGUA6NLw09EwE0CqkOc4q9oUmW1yo/edit?usp=sharing"",""เพชรบูรณ์!M282"")"),0)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IFERROR(__xludf.DUMMYFUNCTION("IMPORTRANGE(""https://docs.google.com/spreadsheets/d/11923uPwbBZFjjGgGUA6NLw09EwE0CqkOc4q9oUmW1yo/edit?usp=sharing"",""เพชรบูรณ์!M283"")"),43248)</f>
        <v>43248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IFERROR(__xludf.DUMMYFUNCTION("IMPORTRANGE(""https://docs.google.com/spreadsheets/d/11923uPwbBZFjjGgGUA6NLw09EwE0CqkOc4q9oUmW1yo/edit?usp=sharing"",""เพชรบูรณ์!M284"")"),18645)</f>
        <v>18645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IFERROR(__xludf.DUMMYFUNCTION("IMPORTRANGE(""https://docs.google.com/spreadsheets/d/11923uPwbBZFjjGgGUA6NLw09EwE0CqkOc4q9oUmW1yo/edit?usp=sharing"",""เพชรบูรณ์!J286"")"),0)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IFERROR(__xludf.DUMMYFUNCTION("IMPORTRANGE(""https://docs.google.com/spreadsheets/d/11923uPwbBZFjjGgGUA6NLw09EwE0CqkOc4q9oUmW1yo/edit?usp=sharing"",""เพชรบูรณ์!J287"")"),1)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IFERROR(__xludf.DUMMYFUNCTION("IMPORTRANGE(""https://docs.google.com/spreadsheets/d/11923uPwbBZFjjGgGUA6NLw09EwE0CqkOc4q9oUmW1yo/edit?usp=sharing"",""เพชรบูรณ์!J288"")"),1)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IFERROR(__xludf.DUMMYFUNCTION("IMPORTRANGE(""https://docs.google.com/spreadsheets/d/11923uPwbBZFjjGgGUA6NLw09EwE0CqkOc4q9oUmW1yo/edit?usp=sharing"",""เพชรบูรณ์!J289"")"),1)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IFERROR(__xludf.DUMMYFUNCTION("IMPORTRANGE(""https://docs.google.com/spreadsheets/d/11923uPwbBZFjjGgGUA6NLw09EwE0CqkOc4q9oUmW1yo/edit?usp=sharing"",""เพชรบูรณ์!I291"")"),100)</f>
        <v>100</v>
      </c>
      <c r="J396" s="207">
        <f ca="1">IFERROR(__xludf.DUMMYFUNCTION("IMPORTRANGE(""https://docs.google.com/spreadsheets/d/11923uPwbBZFjjGgGUA6NLw09EwE0CqkOc4q9oUmW1yo/edit?usp=sharing"",""เพชรบูรณ์!J291"")"),0)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IFERROR(__xludf.DUMMYFUNCTION("IMPORTRANGE(""https://docs.google.com/spreadsheets/d/11923uPwbBZFjjGgGUA6NLw09EwE0CqkOc4q9oUmW1yo/edit?usp=sharing"",""เพชรบูรณ์!I292"")"),1000)</f>
        <v>1000</v>
      </c>
      <c r="J397" s="207">
        <f ca="1">IFERROR(__xludf.DUMMYFUNCTION("IMPORTRANGE(""https://docs.google.com/spreadsheets/d/11923uPwbBZFjjGgGUA6NLw09EwE0CqkOc4q9oUmW1yo/edit?usp=sharing"",""เพชรบูรณ์!J292"")"),0)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IFERROR(__xludf.DUMMYFUNCTION("IMPORTRANGE(""https://docs.google.com/spreadsheets/d/11923uPwbBZFjjGgGUA6NLw09EwE0CqkOc4q9oUmW1yo/edit?usp=sharing"",""เพชรบูรณ์!I293"")"),100)</f>
        <v>100</v>
      </c>
      <c r="J398" s="207">
        <f ca="1">IFERROR(__xludf.DUMMYFUNCTION("IMPORTRANGE(""https://docs.google.com/spreadsheets/d/11923uPwbBZFjjGgGUA6NLw09EwE0CqkOc4q9oUmW1yo/edit?usp=sharing"",""เพชรบูรณ์!J293"")"),0)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IFERROR(__xludf.DUMMYFUNCTION("IMPORTRANGE(""https://docs.google.com/spreadsheets/d/11923uPwbBZFjjGgGUA6NLw09EwE0CqkOc4q9oUmW1yo/edit?usp=sharing"",""เพชรบูรณ์!J294"")"),0)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IFERROR(__xludf.DUMMYFUNCTION("IMPORTRANGE(""https://docs.google.com/spreadsheets/d/11923uPwbBZFjjGgGUA6NLw09EwE0CqkOc4q9oUmW1yo/edit?usp=sharing"",""เพชรบูรณ์!J295"")"),0)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IFERROR(__xludf.DUMMYFUNCTION("IMPORTRANGE(""https://docs.google.com/spreadsheets/d/11923uPwbBZFjjGgGUA6NLw09EwE0CqkOc4q9oUmW1yo/edit?usp=sharing"",""เพชรบูรณ์!I296"")"),219)</f>
        <v>219</v>
      </c>
      <c r="J401" s="379">
        <f ca="1">IFERROR(__xludf.DUMMYFUNCTION("IMPORTRANGE(""https://docs.google.com/spreadsheets/d/11923uPwbBZFjjGgGUA6NLw09EwE0CqkOc4q9oUmW1yo/edit?usp=sharing"",""เพชรบูรณ์!J296"")"),0)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IFERROR(__xludf.DUMMYFUNCTION("IMPORTRANGE(""https://docs.google.com/spreadsheets/d/11923uPwbBZFjjGgGUA6NLw09EwE0CqkOc4q9oUmW1yo/edit?usp=sharing"",""เพชรบูรณ์!L296"")"),244540)</f>
        <v>244540</v>
      </c>
      <c r="M401" s="381"/>
      <c r="N401" s="381">
        <f ca="1">IFERROR(__xludf.DUMMYFUNCTION("IMPORTRANGE(""https://docs.google.com/spreadsheets/d/11923uPwbBZFjjGgGUA6NLw09EwE0CqkOc4q9oUmW1yo/edit?usp=sharing"",""เพชรบูรณ์!M296"")"),40520)</f>
        <v>40520</v>
      </c>
      <c r="O401" s="381">
        <f ca="1">+IF(L401&gt;0,N401*100/L401,0)</f>
        <v>16.569886317166926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IFERROR(__xludf.DUMMYFUNCTION("IMPORTRANGE(""https://docs.google.com/spreadsheets/d/11923uPwbBZFjjGgGUA6NLw09EwE0CqkOc4q9oUmW1yo/edit?usp=sharing"",""เพชรบูรณ์!I297"")"),73)</f>
        <v>73</v>
      </c>
      <c r="J402" s="379">
        <f ca="1">IFERROR(__xludf.DUMMYFUNCTION("IMPORTRANGE(""https://docs.google.com/spreadsheets/d/11923uPwbBZFjjGgGUA6NLw09EwE0CqkOc4q9oUmW1yo/edit?usp=sharing"",""เพชรบูรณ์!J297"")"),0)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IFERROR(__xludf.DUMMYFUNCTION("IMPORTRANGE(""https://docs.google.com/spreadsheets/d/11923uPwbBZFjjGgGUA6NLw09EwE0CqkOc4q9oUmW1yo/edit?usp=sharing"",""เพชรบูรณ์!L298"")"),0)</f>
        <v>0</v>
      </c>
      <c r="M403" s="172"/>
      <c r="N403" s="178">
        <f ca="1">IFERROR(__xludf.DUMMYFUNCTION("IMPORTRANGE(""https://docs.google.com/spreadsheets/d/11923uPwbBZFjjGgGUA6NLw09EwE0CqkOc4q9oUmW1yo/edit?usp=sharing"",""เพชรบูรณ์!M298"")"),0)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IFERROR(__xludf.DUMMYFUNCTION("IMPORTRANGE(""https://docs.google.com/spreadsheets/d/11923uPwbBZFjjGgGUA6NLw09EwE0CqkOc4q9oUmW1yo/edit?usp=sharing"",""เพชรบูรณ์!L299"")"),244540)</f>
        <v>244540</v>
      </c>
      <c r="M404" s="173"/>
      <c r="N404" s="178">
        <f ca="1">IFERROR(__xludf.DUMMYFUNCTION("IMPORTRANGE(""https://docs.google.com/spreadsheets/d/11923uPwbBZFjjGgGUA6NLw09EwE0CqkOc4q9oUmW1yo/edit?usp=sharing"",""เพชรบูรณ์!M299"")"),40520)</f>
        <v>40520</v>
      </c>
      <c r="O404" s="178">
        <f t="shared" ca="1" si="112"/>
        <v>16.569886317166926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IFERROR(__xludf.DUMMYFUNCTION("IMPORTRANGE(""https://docs.google.com/spreadsheets/d/11923uPwbBZFjjGgGUA6NLw09EwE0CqkOc4q9oUmW1yo/edit?usp=sharing"",""เพชรบูรณ์!L300"")"),0)</f>
        <v>0</v>
      </c>
      <c r="M405" s="178"/>
      <c r="N405" s="178">
        <f ca="1">IFERROR(__xludf.DUMMYFUNCTION("IMPORTRANGE(""https://docs.google.com/spreadsheets/d/11923uPwbBZFjjGgGUA6NLw09EwE0CqkOc4q9oUmW1yo/edit?usp=sharing"",""เพชรบูรณ์!M300"")"),0)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IFERROR(__xludf.DUMMYFUNCTION("IMPORTRANGE(""https://docs.google.com/spreadsheets/d/11923uPwbBZFjjGgGUA6NLw09EwE0CqkOc4q9oUmW1yo/edit?usp=sharing"",""เพชรบูรณ์!L301"")"),244540)</f>
        <v>244540</v>
      </c>
      <c r="M406" s="178"/>
      <c r="N406" s="178">
        <f ca="1">IFERROR(__xludf.DUMMYFUNCTION("IMPORTRANGE(""https://docs.google.com/spreadsheets/d/11923uPwbBZFjjGgGUA6NLw09EwE0CqkOc4q9oUmW1yo/edit?usp=sharing"",""เพชรบูรณ์!M301"")"),40520)</f>
        <v>40520</v>
      </c>
      <c r="O406" s="178">
        <f t="shared" ca="1" si="112"/>
        <v>16.569886317166926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IFERROR(__xludf.DUMMYFUNCTION("IMPORTRANGE(""https://docs.google.com/spreadsheets/d/11923uPwbBZFjjGgGUA6NLw09EwE0CqkOc4q9oUmW1yo/edit?usp=sharing"",""เพชรบูรณ์!M302"")"),37620)</f>
        <v>37620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IFERROR(__xludf.DUMMYFUNCTION("IMPORTRANGE(""https://docs.google.com/spreadsheets/d/11923uPwbBZFjjGgGUA6NLw09EwE0CqkOc4q9oUmW1yo/edit?usp=sharing"",""เพชรบูรณ์!M303"")"),0)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IFERROR(__xludf.DUMMYFUNCTION("IMPORTRANGE(""https://docs.google.com/spreadsheets/d/11923uPwbBZFjjGgGUA6NLw09EwE0CqkOc4q9oUmW1yo/edit?usp=sharing"",""เพชรบูรณ์!M304"")"),0)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IFERROR(__xludf.DUMMYFUNCTION("IMPORTRANGE(""https://docs.google.com/spreadsheets/d/11923uPwbBZFjjGgGUA6NLw09EwE0CqkOc4q9oUmW1yo/edit?usp=sharing"",""เพชรบูรณ์!M305"")"),2900)</f>
        <v>2900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IFERROR(__xludf.DUMMYFUNCTION("IMPORTRANGE(""https://docs.google.com/spreadsheets/d/11923uPwbBZFjjGgGUA6NLw09EwE0CqkOc4q9oUmW1yo/edit?usp=sharing"",""เพชรบูรณ์!J307"")"),0)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IFERROR(__xludf.DUMMYFUNCTION("IMPORTRANGE(""https://docs.google.com/spreadsheets/d/11923uPwbBZFjjGgGUA6NLw09EwE0CqkOc4q9oUmW1yo/edit?usp=sharing"",""เพชรบูรณ์!J308"")"),1)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IFERROR(__xludf.DUMMYFUNCTION("IMPORTRANGE(""https://docs.google.com/spreadsheets/d/11923uPwbBZFjjGgGUA6NLw09EwE0CqkOc4q9oUmW1yo/edit?usp=sharing"",""เพชรบูรณ์!J309"")"),1)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IFERROR(__xludf.DUMMYFUNCTION("IMPORTRANGE(""https://docs.google.com/spreadsheets/d/11923uPwbBZFjjGgGUA6NLw09EwE0CqkOc4q9oUmW1yo/edit?usp=sharing"",""เพชรบูรณ์!J310"")"),1)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IFERROR(__xludf.DUMMYFUNCTION("IMPORTRANGE(""https://docs.google.com/spreadsheets/d/11923uPwbBZFjjGgGUA6NLw09EwE0CqkOc4q9oUmW1yo/edit?usp=sharing"",""เพชรบูรณ์!I311"")"),73)</f>
        <v>73</v>
      </c>
      <c r="J416" s="210">
        <f ca="1">IFERROR(__xludf.DUMMYFUNCTION("IMPORTRANGE(""https://docs.google.com/spreadsheets/d/11923uPwbBZFjjGgGUA6NLw09EwE0CqkOc4q9oUmW1yo/edit?usp=sharing"",""เพชรบูรณ์!J311"")"),0)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IFERROR(__xludf.DUMMYFUNCTION("IMPORTRANGE(""https://docs.google.com/spreadsheets/d/11923uPwbBZFjjGgGUA6NLw09EwE0CqkOc4q9oUmW1yo/edit?usp=sharing"",""เพชรบูรณ์!I312"")"),25)</f>
        <v>25</v>
      </c>
      <c r="J417" s="400">
        <f ca="1">IFERROR(__xludf.DUMMYFUNCTION("IMPORTRANGE(""https://docs.google.com/spreadsheets/d/11923uPwbBZFjjGgGUA6NLw09EwE0CqkOc4q9oUmW1yo/edit?usp=sharing"",""เพชรบูรณ์!J312"")"),0)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IFERROR(__xludf.DUMMYFUNCTION("IMPORTRANGE(""https://docs.google.com/spreadsheets/d/11923uPwbBZFjjGgGUA6NLw09EwE0CqkOc4q9oUmW1yo/edit?usp=sharing"",""เพชรบูรณ์!I313"")"),75)</f>
        <v>75</v>
      </c>
      <c r="J418" s="401">
        <f ca="1">IFERROR(__xludf.DUMMYFUNCTION("IMPORTRANGE(""https://docs.google.com/spreadsheets/d/11923uPwbBZFjjGgGUA6NLw09EwE0CqkOc4q9oUmW1yo/edit?usp=sharing"",""เพชรบูรณ์!J313"")"),0)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IFERROR(__xludf.DUMMYFUNCTION("IMPORTRANGE(""https://docs.google.com/spreadsheets/d/11923uPwbBZFjjGgGUA6NLw09EwE0CqkOc4q9oUmW1yo/edit?usp=sharing"",""เพชรบูรณ์!I314"")"),25)</f>
        <v>25</v>
      </c>
      <c r="J419" s="402">
        <f ca="1">IFERROR(__xludf.DUMMYFUNCTION("IMPORTRANGE(""https://docs.google.com/spreadsheets/d/11923uPwbBZFjjGgGUA6NLw09EwE0CqkOc4q9oUmW1yo/edit?usp=sharing"",""เพชรบูรณ์!J314"")"),0)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IFERROR(__xludf.DUMMYFUNCTION("IMPORTRANGE(""https://docs.google.com/spreadsheets/d/11923uPwbBZFjjGgGUA6NLw09EwE0CqkOc4q9oUmW1yo/edit?usp=sharing"",""เพชรบูรณ์!I315"")"),25)</f>
        <v>25</v>
      </c>
      <c r="J420" s="402">
        <f ca="1">IFERROR(__xludf.DUMMYFUNCTION("IMPORTRANGE(""https://docs.google.com/spreadsheets/d/11923uPwbBZFjjGgGUA6NLw09EwE0CqkOc4q9oUmW1yo/edit?usp=sharing"",""เพชรบูรณ์!J315"")"),25)</f>
        <v>25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IFERROR(__xludf.DUMMYFUNCTION("IMPORTRANGE(""https://docs.google.com/spreadsheets/d/11923uPwbBZFjjGgGUA6NLw09EwE0CqkOc4q9oUmW1yo/edit?usp=sharing"",""เพชรบูรณ์!I316"")"),38)</f>
        <v>38</v>
      </c>
      <c r="J421" s="400">
        <f ca="1">IFERROR(__xludf.DUMMYFUNCTION("IMPORTRANGE(""https://docs.google.com/spreadsheets/d/11923uPwbBZFjjGgGUA6NLw09EwE0CqkOc4q9oUmW1yo/edit?usp=sharing"",""เพชรบูรณ์!J316"")"),0)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IFERROR(__xludf.DUMMYFUNCTION("IMPORTRANGE(""https://docs.google.com/spreadsheets/d/11923uPwbBZFjjGgGUA6NLw09EwE0CqkOc4q9oUmW1yo/edit?usp=sharing"",""เพชรบูรณ์!I317"")"),114)</f>
        <v>114</v>
      </c>
      <c r="J422" s="401">
        <f ca="1">IFERROR(__xludf.DUMMYFUNCTION("IMPORTRANGE(""https://docs.google.com/spreadsheets/d/11923uPwbBZFjjGgGUA6NLw09EwE0CqkOc4q9oUmW1yo/edit?usp=sharing"",""เพชรบูรณ์!J317"")"),0)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IFERROR(__xludf.DUMMYFUNCTION("IMPORTRANGE(""https://docs.google.com/spreadsheets/d/11923uPwbBZFjjGgGUA6NLw09EwE0CqkOc4q9oUmW1yo/edit?usp=sharing"",""เพชรบูรณ์!I318"")"),38)</f>
        <v>38</v>
      </c>
      <c r="J423" s="402">
        <f ca="1">IFERROR(__xludf.DUMMYFUNCTION("IMPORTRANGE(""https://docs.google.com/spreadsheets/d/11923uPwbBZFjjGgGUA6NLw09EwE0CqkOc4q9oUmW1yo/edit?usp=sharing"",""เพชรบูรณ์!J318"")"),0)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IFERROR(__xludf.DUMMYFUNCTION("IMPORTRANGE(""https://docs.google.com/spreadsheets/d/11923uPwbBZFjjGgGUA6NLw09EwE0CqkOc4q9oUmW1yo/edit?usp=sharing"",""เพชรบูรณ์!I319"")"),38)</f>
        <v>38</v>
      </c>
      <c r="J424" s="402">
        <f ca="1">IFERROR(__xludf.DUMMYFUNCTION("IMPORTRANGE(""https://docs.google.com/spreadsheets/d/11923uPwbBZFjjGgGUA6NLw09EwE0CqkOc4q9oUmW1yo/edit?usp=sharing"",""เพชรบูรณ์!J319"")"),0)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IFERROR(__xludf.DUMMYFUNCTION("IMPORTRANGE(""https://docs.google.com/spreadsheets/d/11923uPwbBZFjjGgGUA6NLw09EwE0CqkOc4q9oUmW1yo/edit?usp=sharing"",""เพชรบูรณ์!I320"")"),38)</f>
        <v>38</v>
      </c>
      <c r="J425" s="402">
        <f ca="1">IFERROR(__xludf.DUMMYFUNCTION("IMPORTRANGE(""https://docs.google.com/spreadsheets/d/11923uPwbBZFjjGgGUA6NLw09EwE0CqkOc4q9oUmW1yo/edit?usp=sharing"",""เพชรบูรณ์!J320"")"),0)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IFERROR(__xludf.DUMMYFUNCTION("IMPORTRANGE(""https://docs.google.com/spreadsheets/d/11923uPwbBZFjjGgGUA6NLw09EwE0CqkOc4q9oUmW1yo/edit?usp=sharing"",""เพชรบูรณ์!I321"")"),10)</f>
        <v>10</v>
      </c>
      <c r="J426" s="400">
        <f ca="1">IFERROR(__xludf.DUMMYFUNCTION("IMPORTRANGE(""https://docs.google.com/spreadsheets/d/11923uPwbBZFjjGgGUA6NLw09EwE0CqkOc4q9oUmW1yo/edit?usp=sharing"",""เพชรบูรณ์!J321"")"),0)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IFERROR(__xludf.DUMMYFUNCTION("IMPORTRANGE(""https://docs.google.com/spreadsheets/d/11923uPwbBZFjjGgGUA6NLw09EwE0CqkOc4q9oUmW1yo/edit?usp=sharing"",""เพชรบูรณ์!I322"")"),30)</f>
        <v>30</v>
      </c>
      <c r="J427" s="401">
        <f ca="1">IFERROR(__xludf.DUMMYFUNCTION("IMPORTRANGE(""https://docs.google.com/spreadsheets/d/11923uPwbBZFjjGgGUA6NLw09EwE0CqkOc4q9oUmW1yo/edit?usp=sharing"",""เพชรบูรณ์!J322"")"),0)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IFERROR(__xludf.DUMMYFUNCTION("IMPORTRANGE(""https://docs.google.com/spreadsheets/d/11923uPwbBZFjjGgGUA6NLw09EwE0CqkOc4q9oUmW1yo/edit?usp=sharing"",""เพชรบูรณ์!I323"")"),10)</f>
        <v>10</v>
      </c>
      <c r="J428" s="402">
        <f ca="1">IFERROR(__xludf.DUMMYFUNCTION("IMPORTRANGE(""https://docs.google.com/spreadsheets/d/11923uPwbBZFjjGgGUA6NLw09EwE0CqkOc4q9oUmW1yo/edit?usp=sharing"",""เพชรบูรณ์!J323"")"),0)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IFERROR(__xludf.DUMMYFUNCTION("IMPORTRANGE(""https://docs.google.com/spreadsheets/d/11923uPwbBZFjjGgGUA6NLw09EwE0CqkOc4q9oUmW1yo/edit?usp=sharing"",""เพชรบูรณ์!I324"")"),10)</f>
        <v>10</v>
      </c>
      <c r="J429" s="402">
        <f ca="1">IFERROR(__xludf.DUMMYFUNCTION("IMPORTRANGE(""https://docs.google.com/spreadsheets/d/11923uPwbBZFjjGgGUA6NLw09EwE0CqkOc4q9oUmW1yo/edit?usp=sharing"",""เพชรบูรณ์!J324"")"),0)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IFERROR(__xludf.DUMMYFUNCTION("IMPORTRANGE(""https://docs.google.com/spreadsheets/d/11923uPwbBZFjjGgGUA6NLw09EwE0CqkOc4q9oUmW1yo/edit?usp=sharing"",""เพชรบูรณ์!I325"")"),63)</f>
        <v>63</v>
      </c>
      <c r="J430" s="400">
        <f ca="1">IFERROR(__xludf.DUMMYFUNCTION("IMPORTRANGE(""https://docs.google.com/spreadsheets/d/11923uPwbBZFjjGgGUA6NLw09EwE0CqkOc4q9oUmW1yo/edit?usp=sharing"",""เพชรบูรณ์!J325"")"),0)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IFERROR(__xludf.DUMMYFUNCTION("IMPORTRANGE(""https://docs.google.com/spreadsheets/d/11923uPwbBZFjjGgGUA6NLw09EwE0CqkOc4q9oUmW1yo/edit?usp=sharing"",""เพชรบูรณ์!I326"")"),25)</f>
        <v>25</v>
      </c>
      <c r="J431" s="402">
        <f ca="1">IFERROR(__xludf.DUMMYFUNCTION("IMPORTRANGE(""https://docs.google.com/spreadsheets/d/11923uPwbBZFjjGgGUA6NLw09EwE0CqkOc4q9oUmW1yo/edit?usp=sharing"",""เพชรบูรณ์!J326"")"),0)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IFERROR(__xludf.DUMMYFUNCTION("IMPORTRANGE(""https://docs.google.com/spreadsheets/d/11923uPwbBZFjjGgGUA6NLw09EwE0CqkOc4q9oUmW1yo/edit?usp=sharing"",""เพชรบูรณ์!I327"")"),38)</f>
        <v>38</v>
      </c>
      <c r="J432" s="402">
        <f ca="1">IFERROR(__xludf.DUMMYFUNCTION("IMPORTRANGE(""https://docs.google.com/spreadsheets/d/11923uPwbBZFjjGgGUA6NLw09EwE0CqkOc4q9oUmW1yo/edit?usp=sharing"",""เพชรบูรณ์!J327"")"),0)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IFERROR(__xludf.DUMMYFUNCTION("IMPORTRANGE(""https://docs.google.com/spreadsheets/d/11923uPwbBZFjjGgGUA6NLw09EwE0CqkOc4q9oUmW1yo/edit?usp=sharing"",""เพชรบูรณ์!J328"")"),0)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IFERROR(__xludf.DUMMYFUNCTION("IMPORTRANGE(""https://docs.google.com/spreadsheets/d/11923uPwbBZFjjGgGUA6NLw09EwE0CqkOc4q9oUmW1yo/edit?usp=sharing"",""เพชรบูรณ์!J329"")"),0)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IFERROR(__xludf.DUMMYFUNCTION("IMPORTRANGE(""https://docs.google.com/spreadsheets/d/11923uPwbBZFjjGgGUA6NLw09EwE0CqkOc4q9oUmW1yo/edit?usp=sharing"",""เพชรบูรณ์!I330"")"),40)</f>
        <v>40</v>
      </c>
      <c r="J435" s="418">
        <f ca="1">IFERROR(__xludf.DUMMYFUNCTION("IMPORTRANGE(""https://docs.google.com/spreadsheets/d/11923uPwbBZFjjGgGUA6NLw09EwE0CqkOc4q9oUmW1yo/edit?usp=sharing"",""เพชรบูรณ์!J330"")"),20)</f>
        <v>20</v>
      </c>
      <c r="K435" s="419">
        <f ca="1">IF(I435&gt;0,J435*100/I435,0)</f>
        <v>50</v>
      </c>
      <c r="L435" s="420">
        <f ca="1">IFERROR(__xludf.DUMMYFUNCTION("IMPORTRANGE(""https://docs.google.com/spreadsheets/d/11923uPwbBZFjjGgGUA6NLw09EwE0CqkOc4q9oUmW1yo/edit?usp=sharing"",""เพชรบูรณ์!L330"")"),139000)</f>
        <v>139000</v>
      </c>
      <c r="M435" s="420"/>
      <c r="N435" s="420">
        <f ca="1">IFERROR(__xludf.DUMMYFUNCTION("IMPORTRANGE(""https://docs.google.com/spreadsheets/d/11923uPwbBZFjjGgGUA6NLw09EwE0CqkOc4q9oUmW1yo/edit?usp=sharing"",""เพชรบูรณ์!M330"")"),76709.5)</f>
        <v>76709.5</v>
      </c>
      <c r="O435" s="420">
        <f t="shared" ref="O435:O439" ca="1" si="114">+IF(L435&gt;0,N435*100/L435,0)</f>
        <v>55.186690647482017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IFERROR(__xludf.DUMMYFUNCTION("IMPORTRANGE(""https://docs.google.com/spreadsheets/d/11923uPwbBZFjjGgGUA6NLw09EwE0CqkOc4q9oUmW1yo/edit?usp=sharing"",""เพชรบูรณ์!L331"")"),0)</f>
        <v>0</v>
      </c>
      <c r="M436" s="172"/>
      <c r="N436" s="178">
        <f ca="1">IFERROR(__xludf.DUMMYFUNCTION("IMPORTRANGE(""https://docs.google.com/spreadsheets/d/11923uPwbBZFjjGgGUA6NLw09EwE0CqkOc4q9oUmW1yo/edit?usp=sharing"",""เพชรบูรณ์!M331"")"),0)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IFERROR(__xludf.DUMMYFUNCTION("IMPORTRANGE(""https://docs.google.com/spreadsheets/d/11923uPwbBZFjjGgGUA6NLw09EwE0CqkOc4q9oUmW1yo/edit?usp=sharing"",""เพชรบูรณ์!L332"")"),139000)</f>
        <v>139000</v>
      </c>
      <c r="M437" s="173"/>
      <c r="N437" s="178">
        <f ca="1">IFERROR(__xludf.DUMMYFUNCTION("IMPORTRANGE(""https://docs.google.com/spreadsheets/d/11923uPwbBZFjjGgGUA6NLw09EwE0CqkOc4q9oUmW1yo/edit?usp=sharing"",""เพชรบูรณ์!M332"")"),76709.5)</f>
        <v>76709.5</v>
      </c>
      <c r="O437" s="178">
        <f t="shared" ca="1" si="114"/>
        <v>55.186690647482017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IFERROR(__xludf.DUMMYFUNCTION("IMPORTRANGE(""https://docs.google.com/spreadsheets/d/11923uPwbBZFjjGgGUA6NLw09EwE0CqkOc4q9oUmW1yo/edit?usp=sharing"",""เพชรบูรณ์!L333"")"),0)</f>
        <v>0</v>
      </c>
      <c r="M438" s="178"/>
      <c r="N438" s="178">
        <f ca="1">IFERROR(__xludf.DUMMYFUNCTION("IMPORTRANGE(""https://docs.google.com/spreadsheets/d/11923uPwbBZFjjGgGUA6NLw09EwE0CqkOc4q9oUmW1yo/edit?usp=sharing"",""เพชรบูรณ์!M333"")"),0)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IFERROR(__xludf.DUMMYFUNCTION("IMPORTRANGE(""https://docs.google.com/spreadsheets/d/11923uPwbBZFjjGgGUA6NLw09EwE0CqkOc4q9oUmW1yo/edit?usp=sharing"",""เพชรบูรณ์!L334"")"),139000)</f>
        <v>139000</v>
      </c>
      <c r="M439" s="178"/>
      <c r="N439" s="178">
        <f ca="1">IFERROR(__xludf.DUMMYFUNCTION("IMPORTRANGE(""https://docs.google.com/spreadsheets/d/11923uPwbBZFjjGgGUA6NLw09EwE0CqkOc4q9oUmW1yo/edit?usp=sharing"",""เพชรบูรณ์!M334"")"),76709.5)</f>
        <v>76709.5</v>
      </c>
      <c r="O439" s="178">
        <f t="shared" ca="1" si="114"/>
        <v>55.186690647482017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IFERROR(__xludf.DUMMYFUNCTION("IMPORTRANGE(""https://docs.google.com/spreadsheets/d/11923uPwbBZFjjGgGUA6NLw09EwE0CqkOc4q9oUmW1yo/edit?usp=sharing"",""เพชรบูรณ์!M335"")"),71199.5)</f>
        <v>71199.5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IFERROR(__xludf.DUMMYFUNCTION("IMPORTRANGE(""https://docs.google.com/spreadsheets/d/11923uPwbBZFjjGgGUA6NLw09EwE0CqkOc4q9oUmW1yo/edit?usp=sharing"",""เพชรบูรณ์!M336"")"),0)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IFERROR(__xludf.DUMMYFUNCTION("IMPORTRANGE(""https://docs.google.com/spreadsheets/d/11923uPwbBZFjjGgGUA6NLw09EwE0CqkOc4q9oUmW1yo/edit?usp=sharing"",""เพชรบูรณ์!M337"")"),0)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IFERROR(__xludf.DUMMYFUNCTION("IMPORTRANGE(""https://docs.google.com/spreadsheets/d/11923uPwbBZFjjGgGUA6NLw09EwE0CqkOc4q9oUmW1yo/edit?usp=sharing"",""เพชรบูรณ์!M338"")"),5510)</f>
        <v>5510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IFERROR(__xludf.DUMMYFUNCTION("IMPORTRANGE(""https://docs.google.com/spreadsheets/d/11923uPwbBZFjjGgGUA6NLw09EwE0CqkOc4q9oUmW1yo/edit?usp=sharing"",""เพชรบูรณ์!J340"")"),0)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IFERROR(__xludf.DUMMYFUNCTION("IMPORTRANGE(""https://docs.google.com/spreadsheets/d/11923uPwbBZFjjGgGUA6NLw09EwE0CqkOc4q9oUmW1yo/edit?usp=sharing"",""เพชรบูรณ์!J341"")"),1)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IFERROR(__xludf.DUMMYFUNCTION("IMPORTRANGE(""https://docs.google.com/spreadsheets/d/11923uPwbBZFjjGgGUA6NLw09EwE0CqkOc4q9oUmW1yo/edit?usp=sharing"",""เพชรบูรณ์!J342"")"),1)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IFERROR(__xludf.DUMMYFUNCTION("IMPORTRANGE(""https://docs.google.com/spreadsheets/d/11923uPwbBZFjjGgGUA6NLw09EwE0CqkOc4q9oUmW1yo/edit?usp=sharing"",""เพชรบูรณ์!J343"")"),1)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IFERROR(__xludf.DUMMYFUNCTION("IMPORTRANGE(""https://docs.google.com/spreadsheets/d/11923uPwbBZFjjGgGUA6NLw09EwE0CqkOc4q9oUmW1yo/edit?usp=sharing"",""เพชรบูรณ์!I344"")"),40)</f>
        <v>40</v>
      </c>
      <c r="J449" s="210">
        <f ca="1">IFERROR(__xludf.DUMMYFUNCTION("IMPORTRANGE(""https://docs.google.com/spreadsheets/d/11923uPwbBZFjjGgGUA6NLw09EwE0CqkOc4q9oUmW1yo/edit?usp=sharing"",""เพชรบูรณ์!J344"")"),20)</f>
        <v>20</v>
      </c>
      <c r="K449" s="171">
        <f t="shared" ref="K449:K452" ca="1" si="115">IF(I449&gt;0,J449*100/I449,0)</f>
        <v>50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IFERROR(__xludf.DUMMYFUNCTION("IMPORTRANGE(""https://docs.google.com/spreadsheets/d/11923uPwbBZFjjGgGUA6NLw09EwE0CqkOc4q9oUmW1yo/edit?usp=sharing"",""เพชรบูรณ์!I345"")"),40)</f>
        <v>40</v>
      </c>
      <c r="J450" s="198">
        <f ca="1">IFERROR(__xludf.DUMMYFUNCTION("IMPORTRANGE(""https://docs.google.com/spreadsheets/d/11923uPwbBZFjjGgGUA6NLw09EwE0CqkOc4q9oUmW1yo/edit?usp=sharing"",""เพชรบูรณ์!J345"")"),20)</f>
        <v>20</v>
      </c>
      <c r="K450" s="171">
        <f t="shared" ca="1" si="115"/>
        <v>50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IFERROR(__xludf.DUMMYFUNCTION("IMPORTRANGE(""https://docs.google.com/spreadsheets/d/11923uPwbBZFjjGgGUA6NLw09EwE0CqkOc4q9oUmW1yo/edit?usp=sharing"",""เพชรบูรณ์!I346"")"),0)</f>
        <v>0</v>
      </c>
      <c r="J451" s="197">
        <f ca="1">IFERROR(__xludf.DUMMYFUNCTION("IMPORTRANGE(""https://docs.google.com/spreadsheets/d/11923uPwbBZFjjGgGUA6NLw09EwE0CqkOc4q9oUmW1yo/edit?usp=sharing"",""เพชรบูรณ์!J346"")"),0)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IFERROR(__xludf.DUMMYFUNCTION("IMPORTRANGE(""https://docs.google.com/spreadsheets/d/11923uPwbBZFjjGgGUA6NLw09EwE0CqkOc4q9oUmW1yo/edit?usp=sharing"",""เพชรบูรณ์!I347"")"),0)</f>
        <v>0</v>
      </c>
      <c r="J452" s="197">
        <f ca="1">IFERROR(__xludf.DUMMYFUNCTION("IMPORTRANGE(""https://docs.google.com/spreadsheets/d/11923uPwbBZFjjGgGUA6NLw09EwE0CqkOc4q9oUmW1yo/edit?usp=sharing"",""เพชรบูรณ์!J347"")"),0)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IFERROR(__xludf.DUMMYFUNCTION("IMPORTRANGE(""https://docs.google.com/spreadsheets/d/11923uPwbBZFjjGgGUA6NLw09EwE0CqkOc4q9oUmW1yo/edit?usp=sharing"",""เพชรบูรณ์!J348"")"),0)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IFERROR(__xludf.DUMMYFUNCTION("IMPORTRANGE(""https://docs.google.com/spreadsheets/d/11923uPwbBZFjjGgGUA6NLw09EwE0CqkOc4q9oUmW1yo/edit?usp=sharing"",""เพชรบูรณ์!J349"")"),0)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IFERROR(__xludf.DUMMYFUNCTION("IMPORTRANGE(""https://docs.google.com/spreadsheets/d/11923uPwbBZFjjGgGUA6NLw09EwE0CqkOc4q9oUmW1yo/edit?usp=sharing"",""เพชรบูรณ์!I350"")"),54417)</f>
        <v>54417</v>
      </c>
      <c r="J455" s="379">
        <f ca="1">IFERROR(__xludf.DUMMYFUNCTION("IMPORTRANGE(""https://docs.google.com/spreadsheets/d/11923uPwbBZFjjGgGUA6NLw09EwE0CqkOc4q9oUmW1yo/edit?usp=sharing"",""เพชรบูรณ์!J350"")"),0)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IFERROR(__xludf.DUMMYFUNCTION("IMPORTRANGE(""https://docs.google.com/spreadsheets/d/11923uPwbBZFjjGgGUA6NLw09EwE0CqkOc4q9oUmW1yo/edit?usp=sharing"",""เพชรบูรณ์!L350"")"),527976)</f>
        <v>527976</v>
      </c>
      <c r="M455" s="381"/>
      <c r="N455" s="381">
        <f ca="1">IFERROR(__xludf.DUMMYFUNCTION("IMPORTRANGE(""https://docs.google.com/spreadsheets/d/11923uPwbBZFjjGgGUA6NLw09EwE0CqkOc4q9oUmW1yo/edit?usp=sharing"",""เพชรบูรณ์!M350"")"),21080)</f>
        <v>21080</v>
      </c>
      <c r="O455" s="381">
        <f t="shared" ref="O455:O459" ca="1" si="116">+IF(L455&gt;0,N455*100/L455,0)</f>
        <v>3.9926057245026287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IFERROR(__xludf.DUMMYFUNCTION("IMPORTRANGE(""https://docs.google.com/spreadsheets/d/11923uPwbBZFjjGgGUA6NLw09EwE0CqkOc4q9oUmW1yo/edit?usp=sharing"",""เพชรบูรณ์!L351"")"),0)</f>
        <v>0</v>
      </c>
      <c r="M456" s="172"/>
      <c r="N456" s="178">
        <f ca="1">IFERROR(__xludf.DUMMYFUNCTION("IMPORTRANGE(""https://docs.google.com/spreadsheets/d/11923uPwbBZFjjGgGUA6NLw09EwE0CqkOc4q9oUmW1yo/edit?usp=sharing"",""เพชรบูรณ์!M351"")"),0)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IFERROR(__xludf.DUMMYFUNCTION("IMPORTRANGE(""https://docs.google.com/spreadsheets/d/11923uPwbBZFjjGgGUA6NLw09EwE0CqkOc4q9oUmW1yo/edit?usp=sharing"",""เพชรบูรณ์!L352"")"),527976)</f>
        <v>527976</v>
      </c>
      <c r="M457" s="173"/>
      <c r="N457" s="178">
        <f ca="1">IFERROR(__xludf.DUMMYFUNCTION("IMPORTRANGE(""https://docs.google.com/spreadsheets/d/11923uPwbBZFjjGgGUA6NLw09EwE0CqkOc4q9oUmW1yo/edit?usp=sharing"",""เพชรบูรณ์!M352"")"),21080)</f>
        <v>21080</v>
      </c>
      <c r="O457" s="178">
        <f t="shared" ca="1" si="116"/>
        <v>3.9926057245026287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IFERROR(__xludf.DUMMYFUNCTION("IMPORTRANGE(""https://docs.google.com/spreadsheets/d/11923uPwbBZFjjGgGUA6NLw09EwE0CqkOc4q9oUmW1yo/edit?usp=sharing"",""เพชรบูรณ์!L353"")"),0)</f>
        <v>0</v>
      </c>
      <c r="M458" s="178"/>
      <c r="N458" s="178">
        <f ca="1">IFERROR(__xludf.DUMMYFUNCTION("IMPORTRANGE(""https://docs.google.com/spreadsheets/d/11923uPwbBZFjjGgGUA6NLw09EwE0CqkOc4q9oUmW1yo/edit?usp=sharing"",""เพชรบูรณ์!M353"")"),0)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IFERROR(__xludf.DUMMYFUNCTION("IMPORTRANGE(""https://docs.google.com/spreadsheets/d/11923uPwbBZFjjGgGUA6NLw09EwE0CqkOc4q9oUmW1yo/edit?usp=sharing"",""เพชรบูรณ์!L354"")"),527976)</f>
        <v>527976</v>
      </c>
      <c r="M459" s="178"/>
      <c r="N459" s="178">
        <f ca="1">IFERROR(__xludf.DUMMYFUNCTION("IMPORTRANGE(""https://docs.google.com/spreadsheets/d/11923uPwbBZFjjGgGUA6NLw09EwE0CqkOc4q9oUmW1yo/edit?usp=sharing"",""เพชรบูรณ์!M354"")"),21080)</f>
        <v>21080</v>
      </c>
      <c r="O459" s="178">
        <f t="shared" ca="1" si="116"/>
        <v>3.9926057245026287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IFERROR(__xludf.DUMMYFUNCTION("IMPORTRANGE(""https://docs.google.com/spreadsheets/d/11923uPwbBZFjjGgGUA6NLw09EwE0CqkOc4q9oUmW1yo/edit?usp=sharing"",""เพชรบูรณ์!M355"")"),0)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IFERROR(__xludf.DUMMYFUNCTION("IMPORTRANGE(""https://docs.google.com/spreadsheets/d/11923uPwbBZFjjGgGUA6NLw09EwE0CqkOc4q9oUmW1yo/edit?usp=sharing"",""เพชรบูรณ์!M356"")"),0)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IFERROR(__xludf.DUMMYFUNCTION("IMPORTRANGE(""https://docs.google.com/spreadsheets/d/11923uPwbBZFjjGgGUA6NLw09EwE0CqkOc4q9oUmW1yo/edit?usp=sharing"",""เพชรบูรณ์!M357"")"),0)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IFERROR(__xludf.DUMMYFUNCTION("IMPORTRANGE(""https://docs.google.com/spreadsheets/d/11923uPwbBZFjjGgGUA6NLw09EwE0CqkOc4q9oUmW1yo/edit?usp=sharing"",""เพชรบูรณ์!M358"")"),21080)</f>
        <v>21080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IFERROR(__xludf.DUMMYFUNCTION("IMPORTRANGE(""https://docs.google.com/spreadsheets/d/11923uPwbBZFjjGgGUA6NLw09EwE0CqkOc4q9oUmW1yo/edit?usp=sharing"",""เพชรบูรณ์!I359"")"),54417)</f>
        <v>54417</v>
      </c>
      <c r="J464" s="276">
        <f ca="1">IFERROR(__xludf.DUMMYFUNCTION("IMPORTRANGE(""https://docs.google.com/spreadsheets/d/11923uPwbBZFjjGgGUA6NLw09EwE0CqkOc4q9oUmW1yo/edit?usp=sharing"",""เพชรบูรณ์!J359"")"),0)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IFERROR(__xludf.DUMMYFUNCTION("IMPORTRANGE(""https://docs.google.com/spreadsheets/d/11923uPwbBZFjjGgGUA6NLw09EwE0CqkOc4q9oUmW1yo/edit?usp=sharing"",""เพชรบูรณ์!I360"")"),54417)</f>
        <v>54417</v>
      </c>
      <c r="J465" s="428">
        <f ca="1">IFERROR(__xludf.DUMMYFUNCTION("IMPORTRANGE(""https://docs.google.com/spreadsheets/d/11923uPwbBZFjjGgGUA6NLw09EwE0CqkOc4q9oUmW1yo/edit?usp=sharing"",""เพชรบูรณ์!J360"")"),55710)</f>
        <v>55710</v>
      </c>
      <c r="K465" s="211">
        <f t="shared" ca="1" si="117"/>
        <v>102.37609570538619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IFERROR(__xludf.DUMMYFUNCTION("IMPORTRANGE(""https://docs.google.com/spreadsheets/d/11923uPwbBZFjjGgGUA6NLw09EwE0CqkOc4q9oUmW1yo/edit?usp=sharing"",""เพชรบูรณ์!I361"")"),3219)</f>
        <v>3219</v>
      </c>
      <c r="J466" s="428">
        <f ca="1">IFERROR(__xludf.DUMMYFUNCTION("IMPORTRANGE(""https://docs.google.com/spreadsheets/d/11923uPwbBZFjjGgGUA6NLw09EwE0CqkOc4q9oUmW1yo/edit?usp=sharing"",""เพชรบูรณ์!J361"")"),3219)</f>
        <v>3219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IFERROR(__xludf.DUMMYFUNCTION("IMPORTRANGE(""https://docs.google.com/spreadsheets/d/11923uPwbBZFjjGgGUA6NLw09EwE0CqkOc4q9oUmW1yo/edit?usp=sharing"",""เพชรบูรณ์!I362"")"),0)</f>
        <v>0</v>
      </c>
      <c r="J467" s="198">
        <f ca="1">IFERROR(__xludf.DUMMYFUNCTION("IMPORTRANGE(""https://docs.google.com/spreadsheets/d/11923uPwbBZFjjGgGUA6NLw09EwE0CqkOc4q9oUmW1yo/edit?usp=sharing"",""เพชรบูรณ์!J362"")"),34722)</f>
        <v>34722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IFERROR(__xludf.DUMMYFUNCTION("IMPORTRANGE(""https://docs.google.com/spreadsheets/d/11923uPwbBZFjjGgGUA6NLw09EwE0CqkOc4q9oUmW1yo/edit?usp=sharing"",""เพชรบูรณ์!I363"")"),0)</f>
        <v>0</v>
      </c>
      <c r="J468" s="198">
        <f ca="1">IFERROR(__xludf.DUMMYFUNCTION("IMPORTRANGE(""https://docs.google.com/spreadsheets/d/11923uPwbBZFjjGgGUA6NLw09EwE0CqkOc4q9oUmW1yo/edit?usp=sharing"",""เพชรบูรณ์!J363"")"),2238)</f>
        <v>2238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IFERROR(__xludf.DUMMYFUNCTION("IMPORTRANGE(""https://docs.google.com/spreadsheets/d/11923uPwbBZFjjGgGUA6NLw09EwE0CqkOc4q9oUmW1yo/edit?usp=sharing"",""เพชรบูรณ์!I364"")"),0)</f>
        <v>0</v>
      </c>
      <c r="J469" s="198">
        <f ca="1">IFERROR(__xludf.DUMMYFUNCTION("IMPORTRANGE(""https://docs.google.com/spreadsheets/d/11923uPwbBZFjjGgGUA6NLw09EwE0CqkOc4q9oUmW1yo/edit?usp=sharing"",""เพชรบูรณ์!J364"")"),19289)</f>
        <v>19289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IFERROR(__xludf.DUMMYFUNCTION("IMPORTRANGE(""https://docs.google.com/spreadsheets/d/11923uPwbBZFjjGgGUA6NLw09EwE0CqkOc4q9oUmW1yo/edit?usp=sharing"",""เพชรบูรณ์!I365"")"),0)</f>
        <v>0</v>
      </c>
      <c r="J470" s="198">
        <f ca="1">IFERROR(__xludf.DUMMYFUNCTION("IMPORTRANGE(""https://docs.google.com/spreadsheets/d/11923uPwbBZFjjGgGUA6NLw09EwE0CqkOc4q9oUmW1yo/edit?usp=sharing"",""เพชรบูรณ์!J365"")"),896)</f>
        <v>896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IFERROR(__xludf.DUMMYFUNCTION("IMPORTRANGE(""https://docs.google.com/spreadsheets/d/11923uPwbBZFjjGgGUA6NLw09EwE0CqkOc4q9oUmW1yo/edit?usp=sharing"",""เพชรบูรณ์!I366"")"),0)</f>
        <v>0</v>
      </c>
      <c r="J471" s="198">
        <f ca="1">IFERROR(__xludf.DUMMYFUNCTION("IMPORTRANGE(""https://docs.google.com/spreadsheets/d/11923uPwbBZFjjGgGUA6NLw09EwE0CqkOc4q9oUmW1yo/edit?usp=sharing"",""เพชรบูรณ์!J366"")"),1699)</f>
        <v>1699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IFERROR(__xludf.DUMMYFUNCTION("IMPORTRANGE(""https://docs.google.com/spreadsheets/d/11923uPwbBZFjjGgGUA6NLw09EwE0CqkOc4q9oUmW1yo/edit?usp=sharing"",""เพชรบูรณ์!I367"")"),0)</f>
        <v>0</v>
      </c>
      <c r="J472" s="198">
        <f ca="1">IFERROR(__xludf.DUMMYFUNCTION("IMPORTRANGE(""https://docs.google.com/spreadsheets/d/11923uPwbBZFjjGgGUA6NLw09EwE0CqkOc4q9oUmW1yo/edit?usp=sharing"",""เพชรบูรณ์!J367"")"),85)</f>
        <v>85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IFERROR(__xludf.DUMMYFUNCTION("IMPORTRANGE(""https://docs.google.com/spreadsheets/d/11923uPwbBZFjjGgGUA6NLw09EwE0CqkOc4q9oUmW1yo/edit?usp=sharing"",""เพชรบูรณ์!I368"")"),54417)</f>
        <v>54417</v>
      </c>
      <c r="J473" s="428">
        <f ca="1">IFERROR(__xludf.DUMMYFUNCTION("IMPORTRANGE(""https://docs.google.com/spreadsheets/d/11923uPwbBZFjjGgGUA6NLw09EwE0CqkOc4q9oUmW1yo/edit?usp=sharing"",""เพชรบูรณ์!J368"")"),0)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IFERROR(__xludf.DUMMYFUNCTION("IMPORTRANGE(""https://docs.google.com/spreadsheets/d/11923uPwbBZFjjGgGUA6NLw09EwE0CqkOc4q9oUmW1yo/edit?usp=sharing"",""เพชรบูรณ์!I369"")"),3219)</f>
        <v>3219</v>
      </c>
      <c r="J474" s="428">
        <f ca="1">IFERROR(__xludf.DUMMYFUNCTION("IMPORTRANGE(""https://docs.google.com/spreadsheets/d/11923uPwbBZFjjGgGUA6NLw09EwE0CqkOc4q9oUmW1yo/edit?usp=sharing"",""เพชรบูรณ์!J369"")"),0)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IFERROR(__xludf.DUMMYFUNCTION("IMPORTRANGE(""https://docs.google.com/spreadsheets/d/11923uPwbBZFjjGgGUA6NLw09EwE0CqkOc4q9oUmW1yo/edit?usp=sharing"",""เพชรบูรณ์!I370"")"),0)</f>
        <v>0</v>
      </c>
      <c r="J475" s="198">
        <f ca="1">IFERROR(__xludf.DUMMYFUNCTION("IMPORTRANGE(""https://docs.google.com/spreadsheets/d/11923uPwbBZFjjGgGUA6NLw09EwE0CqkOc4q9oUmW1yo/edit?usp=sharing"",""เพชรบูรณ์!J370"")"),0)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IFERROR(__xludf.DUMMYFUNCTION("IMPORTRANGE(""https://docs.google.com/spreadsheets/d/11923uPwbBZFjjGgGUA6NLw09EwE0CqkOc4q9oUmW1yo/edit?usp=sharing"",""เพชรบูรณ์!I371"")"),0)</f>
        <v>0</v>
      </c>
      <c r="J476" s="198">
        <f ca="1">IFERROR(__xludf.DUMMYFUNCTION("IMPORTRANGE(""https://docs.google.com/spreadsheets/d/11923uPwbBZFjjGgGUA6NLw09EwE0CqkOc4q9oUmW1yo/edit?usp=sharing"",""เพชรบูรณ์!J371"")"),0)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IFERROR(__xludf.DUMMYFUNCTION("IMPORTRANGE(""https://docs.google.com/spreadsheets/d/11923uPwbBZFjjGgGUA6NLw09EwE0CqkOc4q9oUmW1yo/edit?usp=sharing"",""เพชรบูรณ์!I372"")"),0)</f>
        <v>0</v>
      </c>
      <c r="J477" s="198">
        <f ca="1">IFERROR(__xludf.DUMMYFUNCTION("IMPORTRANGE(""https://docs.google.com/spreadsheets/d/11923uPwbBZFjjGgGUA6NLw09EwE0CqkOc4q9oUmW1yo/edit?usp=sharing"",""เพชรบูรณ์!J372"")"),0)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IFERROR(__xludf.DUMMYFUNCTION("IMPORTRANGE(""https://docs.google.com/spreadsheets/d/11923uPwbBZFjjGgGUA6NLw09EwE0CqkOc4q9oUmW1yo/edit?usp=sharing"",""เพชรบูรณ์!I373"")"),0)</f>
        <v>0</v>
      </c>
      <c r="J478" s="198">
        <f ca="1">IFERROR(__xludf.DUMMYFUNCTION("IMPORTRANGE(""https://docs.google.com/spreadsheets/d/11923uPwbBZFjjGgGUA6NLw09EwE0CqkOc4q9oUmW1yo/edit?usp=sharing"",""เพชรบูรณ์!J373"")"),0)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IFERROR(__xludf.DUMMYFUNCTION("IMPORTRANGE(""https://docs.google.com/spreadsheets/d/11923uPwbBZFjjGgGUA6NLw09EwE0CqkOc4q9oUmW1yo/edit?usp=sharing"",""เพชรบูรณ์!I374"")"),0)</f>
        <v>0</v>
      </c>
      <c r="J479" s="198">
        <f ca="1">IFERROR(__xludf.DUMMYFUNCTION("IMPORTRANGE(""https://docs.google.com/spreadsheets/d/11923uPwbBZFjjGgGUA6NLw09EwE0CqkOc4q9oUmW1yo/edit?usp=sharing"",""เพชรบูรณ์!J374"")"),0)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IFERROR(__xludf.DUMMYFUNCTION("IMPORTRANGE(""https://docs.google.com/spreadsheets/d/11923uPwbBZFjjGgGUA6NLw09EwE0CqkOc4q9oUmW1yo/edit?usp=sharing"",""เพชรบูรณ์!I375"")"),0)</f>
        <v>0</v>
      </c>
      <c r="J480" s="198">
        <f ca="1">IFERROR(__xludf.DUMMYFUNCTION("IMPORTRANGE(""https://docs.google.com/spreadsheets/d/11923uPwbBZFjjGgGUA6NLw09EwE0CqkOc4q9oUmW1yo/edit?usp=sharing"",""เพชรบูรณ์!J375"")"),0)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IFERROR(__xludf.DUMMYFUNCTION("IMPORTRANGE(""https://docs.google.com/spreadsheets/d/11923uPwbBZFjjGgGUA6NLw09EwE0CqkOc4q9oUmW1yo/edit?usp=sharing"",""เพชรบูรณ์!I376"")"),54417)</f>
        <v>54417</v>
      </c>
      <c r="J481" s="428">
        <f ca="1">IFERROR(__xludf.DUMMYFUNCTION("IMPORTRANGE(""https://docs.google.com/spreadsheets/d/11923uPwbBZFjjGgGUA6NLw09EwE0CqkOc4q9oUmW1yo/edit?usp=sharing"",""เพชรบูรณ์!J376"")"),0)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IFERROR(__xludf.DUMMYFUNCTION("IMPORTRANGE(""https://docs.google.com/spreadsheets/d/11923uPwbBZFjjGgGUA6NLw09EwE0CqkOc4q9oUmW1yo/edit?usp=sharing"",""เพชรบูรณ์!I377"")"),3219)</f>
        <v>3219</v>
      </c>
      <c r="J482" s="428">
        <f ca="1">IFERROR(__xludf.DUMMYFUNCTION("IMPORTRANGE(""https://docs.google.com/spreadsheets/d/11923uPwbBZFjjGgGUA6NLw09EwE0CqkOc4q9oUmW1yo/edit?usp=sharing"",""เพชรบูรณ์!J377"")"),0)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IFERROR(__xludf.DUMMYFUNCTION("IMPORTRANGE(""https://docs.google.com/spreadsheets/d/11923uPwbBZFjjGgGUA6NLw09EwE0CqkOc4q9oUmW1yo/edit?usp=sharing"",""เพชรบูรณ์!I378"")"),0)</f>
        <v>0</v>
      </c>
      <c r="J483" s="198">
        <f ca="1">IFERROR(__xludf.DUMMYFUNCTION("IMPORTRANGE(""https://docs.google.com/spreadsheets/d/11923uPwbBZFjjGgGUA6NLw09EwE0CqkOc4q9oUmW1yo/edit?usp=sharing"",""เพชรบูรณ์!J378"")"),0)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IFERROR(__xludf.DUMMYFUNCTION("IMPORTRANGE(""https://docs.google.com/spreadsheets/d/11923uPwbBZFjjGgGUA6NLw09EwE0CqkOc4q9oUmW1yo/edit?usp=sharing"",""เพชรบูรณ์!I379"")"),0)</f>
        <v>0</v>
      </c>
      <c r="J484" s="198">
        <f ca="1">IFERROR(__xludf.DUMMYFUNCTION("IMPORTRANGE(""https://docs.google.com/spreadsheets/d/11923uPwbBZFjjGgGUA6NLw09EwE0CqkOc4q9oUmW1yo/edit?usp=sharing"",""เพชรบูรณ์!J379"")"),0)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IFERROR(__xludf.DUMMYFUNCTION("IMPORTRANGE(""https://docs.google.com/spreadsheets/d/11923uPwbBZFjjGgGUA6NLw09EwE0CqkOc4q9oUmW1yo/edit?usp=sharing"",""เพชรบูรณ์!I380"")"),0)</f>
        <v>0</v>
      </c>
      <c r="J485" s="198">
        <f ca="1">IFERROR(__xludf.DUMMYFUNCTION("IMPORTRANGE(""https://docs.google.com/spreadsheets/d/11923uPwbBZFjjGgGUA6NLw09EwE0CqkOc4q9oUmW1yo/edit?usp=sharing"",""เพชรบูรณ์!J380"")"),0)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IFERROR(__xludf.DUMMYFUNCTION("IMPORTRANGE(""https://docs.google.com/spreadsheets/d/11923uPwbBZFjjGgGUA6NLw09EwE0CqkOc4q9oUmW1yo/edit?usp=sharing"",""เพชรบูรณ์!I381"")"),0)</f>
        <v>0</v>
      </c>
      <c r="J486" s="198">
        <f ca="1">IFERROR(__xludf.DUMMYFUNCTION("IMPORTRANGE(""https://docs.google.com/spreadsheets/d/11923uPwbBZFjjGgGUA6NLw09EwE0CqkOc4q9oUmW1yo/edit?usp=sharing"",""เพชรบูรณ์!J381"")"),0)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IFERROR(__xludf.DUMMYFUNCTION("IMPORTRANGE(""https://docs.google.com/spreadsheets/d/11923uPwbBZFjjGgGUA6NLw09EwE0CqkOc4q9oUmW1yo/edit?usp=sharing"",""เพชรบูรณ์!I382"")"),0)</f>
        <v>0</v>
      </c>
      <c r="J487" s="428">
        <f ca="1">IFERROR(__xludf.DUMMYFUNCTION("IMPORTRANGE(""https://docs.google.com/spreadsheets/d/11923uPwbBZFjjGgGUA6NLw09EwE0CqkOc4q9oUmW1yo/edit?usp=sharing"",""เพชรบูรณ์!J382"")"),0)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IFERROR(__xludf.DUMMYFUNCTION("IMPORTRANGE(""https://docs.google.com/spreadsheets/d/11923uPwbBZFjjGgGUA6NLw09EwE0CqkOc4q9oUmW1yo/edit?usp=sharing"",""เพชรบูรณ์!I383"")"),0)</f>
        <v>0</v>
      </c>
      <c r="J488" s="428">
        <f ca="1">IFERROR(__xludf.DUMMYFUNCTION("IMPORTRANGE(""https://docs.google.com/spreadsheets/d/11923uPwbBZFjjGgGUA6NLw09EwE0CqkOc4q9oUmW1yo/edit?usp=sharing"",""เพชรบูรณ์!J383"")"),0)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IFERROR(__xludf.DUMMYFUNCTION("IMPORTRANGE(""https://docs.google.com/spreadsheets/d/11923uPwbBZFjjGgGUA6NLw09EwE0CqkOc4q9oUmW1yo/edit?usp=sharing"",""เพชรบูรณ์!I384"")"),0)</f>
        <v>0</v>
      </c>
      <c r="J489" s="198">
        <f ca="1">IFERROR(__xludf.DUMMYFUNCTION("IMPORTRANGE(""https://docs.google.com/spreadsheets/d/11923uPwbBZFjjGgGUA6NLw09EwE0CqkOc4q9oUmW1yo/edit?usp=sharing"",""เพชรบูรณ์!J384"")"),0)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IFERROR(__xludf.DUMMYFUNCTION("IMPORTRANGE(""https://docs.google.com/spreadsheets/d/11923uPwbBZFjjGgGUA6NLw09EwE0CqkOc4q9oUmW1yo/edit?usp=sharing"",""เพชรบูรณ์!I385"")"),0)</f>
        <v>0</v>
      </c>
      <c r="J490" s="198">
        <f ca="1">IFERROR(__xludf.DUMMYFUNCTION("IMPORTRANGE(""https://docs.google.com/spreadsheets/d/11923uPwbBZFjjGgGUA6NLw09EwE0CqkOc4q9oUmW1yo/edit?usp=sharing"",""เพชรบูรณ์!J385"")"),0)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IFERROR(__xludf.DUMMYFUNCTION("IMPORTRANGE(""https://docs.google.com/spreadsheets/d/11923uPwbBZFjjGgGUA6NLw09EwE0CqkOc4q9oUmW1yo/edit?usp=sharing"",""เพชรบูรณ์!I386"")"),0)</f>
        <v>0</v>
      </c>
      <c r="J491" s="198">
        <f ca="1">IFERROR(__xludf.DUMMYFUNCTION("IMPORTRANGE(""https://docs.google.com/spreadsheets/d/11923uPwbBZFjjGgGUA6NLw09EwE0CqkOc4q9oUmW1yo/edit?usp=sharing"",""เพชรบูรณ์!J386"")"),0)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IFERROR(__xludf.DUMMYFUNCTION("IMPORTRANGE(""https://docs.google.com/spreadsheets/d/11923uPwbBZFjjGgGUA6NLw09EwE0CqkOc4q9oUmW1yo/edit?usp=sharing"",""เพชรบูรณ์!I387"")"),0)</f>
        <v>0</v>
      </c>
      <c r="J492" s="198">
        <f ca="1">IFERROR(__xludf.DUMMYFUNCTION("IMPORTRANGE(""https://docs.google.com/spreadsheets/d/11923uPwbBZFjjGgGUA6NLw09EwE0CqkOc4q9oUmW1yo/edit?usp=sharing"",""เพชรบูรณ์!J387"")"),0)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IFERROR(__xludf.DUMMYFUNCTION("IMPORTRANGE(""https://docs.google.com/spreadsheets/d/11923uPwbBZFjjGgGUA6NLw09EwE0CqkOc4q9oUmW1yo/edit?usp=sharing"",""เพชรบูรณ์!I388"")"),0)</f>
        <v>0</v>
      </c>
      <c r="J493" s="198">
        <f ca="1">IFERROR(__xludf.DUMMYFUNCTION("IMPORTRANGE(""https://docs.google.com/spreadsheets/d/11923uPwbBZFjjGgGUA6NLw09EwE0CqkOc4q9oUmW1yo/edit?usp=sharing"",""เพชรบูรณ์!J388"")"),0)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IFERROR(__xludf.DUMMYFUNCTION("IMPORTRANGE(""https://docs.google.com/spreadsheets/d/11923uPwbBZFjjGgGUA6NLw09EwE0CqkOc4q9oUmW1yo/edit?usp=sharing"",""เพชรบูรณ์!I389"")"),0)</f>
        <v>0</v>
      </c>
      <c r="J494" s="444">
        <f ca="1">IFERROR(__xludf.DUMMYFUNCTION("IMPORTRANGE(""https://docs.google.com/spreadsheets/d/11923uPwbBZFjjGgGUA6NLw09EwE0CqkOc4q9oUmW1yo/edit?usp=sharing"",""เพชรบูรณ์!J389"")"),0)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IFERROR(__xludf.DUMMYFUNCTION("IMPORTRANGE(""https://docs.google.com/spreadsheets/d/11923uPwbBZFjjGgGUA6NLw09EwE0CqkOc4q9oUmW1yo/edit?usp=sharing"",""เพชรบูรณ์!I390"")"),0)</f>
        <v>0</v>
      </c>
      <c r="J495" s="444">
        <f ca="1">IFERROR(__xludf.DUMMYFUNCTION("IMPORTRANGE(""https://docs.google.com/spreadsheets/d/11923uPwbBZFjjGgGUA6NLw09EwE0CqkOc4q9oUmW1yo/edit?usp=sharing"",""เพชรบูรณ์!J390"")"),0)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IFERROR(__xludf.DUMMYFUNCTION("IMPORTRANGE(""https://docs.google.com/spreadsheets/d/11923uPwbBZFjjGgGUA6NLw09EwE0CqkOc4q9oUmW1yo/edit?usp=sharing"",""เพชรบูรณ์!I391"")"),0)</f>
        <v>0</v>
      </c>
      <c r="J496" s="444">
        <f ca="1">IFERROR(__xludf.DUMMYFUNCTION("IMPORTRANGE(""https://docs.google.com/spreadsheets/d/11923uPwbBZFjjGgGUA6NLw09EwE0CqkOc4q9oUmW1yo/edit?usp=sharing"",""เพชรบูรณ์!J391"")"),0)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IFERROR(__xludf.DUMMYFUNCTION("IMPORTRANGE(""https://docs.google.com/spreadsheets/d/11923uPwbBZFjjGgGUA6NLw09EwE0CqkOc4q9oUmW1yo/edit?usp=sharing"",""เพชรบูรณ์!I392"")"),15939)</f>
        <v>15939</v>
      </c>
      <c r="J497" s="451">
        <f ca="1">IFERROR(__xludf.DUMMYFUNCTION("IMPORTRANGE(""https://docs.google.com/spreadsheets/d/11923uPwbBZFjjGgGUA6NLw09EwE0CqkOc4q9oUmW1yo/edit?usp=sharing"",""เพชรบูรณ์!J392"")"),226.22)</f>
        <v>226.22</v>
      </c>
      <c r="K497" s="452">
        <f t="shared" ca="1" si="117"/>
        <v>1.4192860279816801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IFERROR(__xludf.DUMMYFUNCTION("IMPORTRANGE(""https://docs.google.com/spreadsheets/d/11923uPwbBZFjjGgGUA6NLw09EwE0CqkOc4q9oUmW1yo/edit?usp=sharing"",""เพชรบูรณ์!I393"")"),15939)</f>
        <v>15939</v>
      </c>
      <c r="J498" s="428">
        <f ca="1">IFERROR(__xludf.DUMMYFUNCTION("IMPORTRANGE(""https://docs.google.com/spreadsheets/d/11923uPwbBZFjjGgGUA6NLw09EwE0CqkOc4q9oUmW1yo/edit?usp=sharing"",""เพชรบูรณ์!J393"")"),226.22)</f>
        <v>226.22</v>
      </c>
      <c r="K498" s="171">
        <f t="shared" ca="1" si="117"/>
        <v>1.4192860279816801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IFERROR(__xludf.DUMMYFUNCTION("IMPORTRANGE(""https://docs.google.com/spreadsheets/d/11923uPwbBZFjjGgGUA6NLw09EwE0CqkOc4q9oUmW1yo/edit?usp=sharing"",""เพชรบูรณ์!I394"")"),647)</f>
        <v>647</v>
      </c>
      <c r="J499" s="428">
        <f ca="1">IFERROR(__xludf.DUMMYFUNCTION("IMPORTRANGE(""https://docs.google.com/spreadsheets/d/11923uPwbBZFjjGgGUA6NLw09EwE0CqkOc4q9oUmW1yo/edit?usp=sharing"",""เพชรบูรณ์!J394"")"),27)</f>
        <v>27</v>
      </c>
      <c r="K499" s="211">
        <f t="shared" ca="1" si="117"/>
        <v>4.1731066460587325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IFERROR(__xludf.DUMMYFUNCTION("IMPORTRANGE(""https://docs.google.com/spreadsheets/d/11923uPwbBZFjjGgGUA6NLw09EwE0CqkOc4q9oUmW1yo/edit?usp=sharing"",""เพชรบูรณ์!I395"")"),0)</f>
        <v>0</v>
      </c>
      <c r="J500" s="170">
        <f ca="1">IFERROR(__xludf.DUMMYFUNCTION("IMPORTRANGE(""https://docs.google.com/spreadsheets/d/11923uPwbBZFjjGgGUA6NLw09EwE0CqkOc4q9oUmW1yo/edit?usp=sharing"",""เพชรบูรณ์!J395"")"),212.39)</f>
        <v>212.39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IFERROR(__xludf.DUMMYFUNCTION("IMPORTRANGE(""https://docs.google.com/spreadsheets/d/11923uPwbBZFjjGgGUA6NLw09EwE0CqkOc4q9oUmW1yo/edit?usp=sharing"",""เพชรบูรณ์!I396"")"),0)</f>
        <v>0</v>
      </c>
      <c r="J501" s="170">
        <f ca="1">IFERROR(__xludf.DUMMYFUNCTION("IMPORTRANGE(""https://docs.google.com/spreadsheets/d/11923uPwbBZFjjGgGUA6NLw09EwE0CqkOc4q9oUmW1yo/edit?usp=sharing"",""เพชรบูรณ์!J396"")"),25)</f>
        <v>25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IFERROR(__xludf.DUMMYFUNCTION("IMPORTRANGE(""https://docs.google.com/spreadsheets/d/11923uPwbBZFjjGgGUA6NLw09EwE0CqkOc4q9oUmW1yo/edit?usp=sharing"",""เพชรบูรณ์!I397"")"),0)</f>
        <v>0</v>
      </c>
      <c r="J502" s="198">
        <f ca="1">IFERROR(__xludf.DUMMYFUNCTION("IMPORTRANGE(""https://docs.google.com/spreadsheets/d/11923uPwbBZFjjGgGUA6NLw09EwE0CqkOc4q9oUmW1yo/edit?usp=sharing"",""เพชรบูรณ์!J397"")"),212.39)</f>
        <v>212.39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IFERROR(__xludf.DUMMYFUNCTION("IMPORTRANGE(""https://docs.google.com/spreadsheets/d/11923uPwbBZFjjGgGUA6NLw09EwE0CqkOc4q9oUmW1yo/edit?usp=sharing"",""เพชรบูรณ์!I398"")"),0)</f>
        <v>0</v>
      </c>
      <c r="J503" s="207">
        <f ca="1">IFERROR(__xludf.DUMMYFUNCTION("IMPORTRANGE(""https://docs.google.com/spreadsheets/d/11923uPwbBZFjjGgGUA6NLw09EwE0CqkOc4q9oUmW1yo/edit?usp=sharing"",""เพชรบูรณ์!J398"")"),25)</f>
        <v>25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IFERROR(__xludf.DUMMYFUNCTION("IMPORTRANGE(""https://docs.google.com/spreadsheets/d/11923uPwbBZFjjGgGUA6NLw09EwE0CqkOc4q9oUmW1yo/edit?usp=sharing"",""เพชรบูรณ์!I399"")"),0)</f>
        <v>0</v>
      </c>
      <c r="J504" s="198">
        <f ca="1">IFERROR(__xludf.DUMMYFUNCTION("IMPORTRANGE(""https://docs.google.com/spreadsheets/d/11923uPwbBZFjjGgGUA6NLw09EwE0CqkOc4q9oUmW1yo/edit?usp=sharing"",""เพชรบูรณ์!J399"")"),0)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IFERROR(__xludf.DUMMYFUNCTION("IMPORTRANGE(""https://docs.google.com/spreadsheets/d/11923uPwbBZFjjGgGUA6NLw09EwE0CqkOc4q9oUmW1yo/edit?usp=sharing"",""เพชรบูรณ์!I400"")"),0)</f>
        <v>0</v>
      </c>
      <c r="J505" s="207">
        <f ca="1">IFERROR(__xludf.DUMMYFUNCTION("IMPORTRANGE(""https://docs.google.com/spreadsheets/d/11923uPwbBZFjjGgGUA6NLw09EwE0CqkOc4q9oUmW1yo/edit?usp=sharing"",""เพชรบูรณ์!J400"")"),0)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IFERROR(__xludf.DUMMYFUNCTION("IMPORTRANGE(""https://docs.google.com/spreadsheets/d/11923uPwbBZFjjGgGUA6NLw09EwE0CqkOc4q9oUmW1yo/edit?usp=sharing"",""เพชรบูรณ์!I401"")"),0)</f>
        <v>0</v>
      </c>
      <c r="J506" s="198">
        <f ca="1">IFERROR(__xludf.DUMMYFUNCTION("IMPORTRANGE(""https://docs.google.com/spreadsheets/d/11923uPwbBZFjjGgGUA6NLw09EwE0CqkOc4q9oUmW1yo/edit?usp=sharing"",""เพชรบูรณ์!J401"")"),0)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IFERROR(__xludf.DUMMYFUNCTION("IMPORTRANGE(""https://docs.google.com/spreadsheets/d/11923uPwbBZFjjGgGUA6NLw09EwE0CqkOc4q9oUmW1yo/edit?usp=sharing"",""เพชรบูรณ์!I402"")"),0)</f>
        <v>0</v>
      </c>
      <c r="J507" s="207">
        <f ca="1">IFERROR(__xludf.DUMMYFUNCTION("IMPORTRANGE(""https://docs.google.com/spreadsheets/d/11923uPwbBZFjjGgGUA6NLw09EwE0CqkOc4q9oUmW1yo/edit?usp=sharing"",""เพชรบูรณ์!J402"")"),0)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IFERROR(__xludf.DUMMYFUNCTION("IMPORTRANGE(""https://docs.google.com/spreadsheets/d/11923uPwbBZFjjGgGUA6NLw09EwE0CqkOc4q9oUmW1yo/edit?usp=sharing"",""เพชรบูรณ์!I403"")"),0)</f>
        <v>0</v>
      </c>
      <c r="J508" s="170">
        <f ca="1">IFERROR(__xludf.DUMMYFUNCTION("IMPORTRANGE(""https://docs.google.com/spreadsheets/d/11923uPwbBZFjjGgGUA6NLw09EwE0CqkOc4q9oUmW1yo/edit?usp=sharing"",""เพชรบูรณ์!J403"")"),13.83)</f>
        <v>13.83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IFERROR(__xludf.DUMMYFUNCTION("IMPORTRANGE(""https://docs.google.com/spreadsheets/d/11923uPwbBZFjjGgGUA6NLw09EwE0CqkOc4q9oUmW1yo/edit?usp=sharing"",""เพชรบูรณ์!I404"")"),0)</f>
        <v>0</v>
      </c>
      <c r="J509" s="170">
        <f ca="1">IFERROR(__xludf.DUMMYFUNCTION("IMPORTRANGE(""https://docs.google.com/spreadsheets/d/11923uPwbBZFjjGgGUA6NLw09EwE0CqkOc4q9oUmW1yo/edit?usp=sharing"",""เพชรบูรณ์!J404"")"),2)</f>
        <v>2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IFERROR(__xludf.DUMMYFUNCTION("IMPORTRANGE(""https://docs.google.com/spreadsheets/d/11923uPwbBZFjjGgGUA6NLw09EwE0CqkOc4q9oUmW1yo/edit?usp=sharing"",""เพชรบูรณ์!I405"")"),0)</f>
        <v>0</v>
      </c>
      <c r="J510" s="207">
        <f ca="1">IFERROR(__xludf.DUMMYFUNCTION("IMPORTRANGE(""https://docs.google.com/spreadsheets/d/11923uPwbBZFjjGgGUA6NLw09EwE0CqkOc4q9oUmW1yo/edit?usp=sharing"",""เพชรบูรณ์!J405"")"),13.83)</f>
        <v>13.83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IFERROR(__xludf.DUMMYFUNCTION("IMPORTRANGE(""https://docs.google.com/spreadsheets/d/11923uPwbBZFjjGgGUA6NLw09EwE0CqkOc4q9oUmW1yo/edit?usp=sharing"",""เพชรบูรณ์!I406"")"),0)</f>
        <v>0</v>
      </c>
      <c r="J511" s="207">
        <f ca="1">IFERROR(__xludf.DUMMYFUNCTION("IMPORTRANGE(""https://docs.google.com/spreadsheets/d/11923uPwbBZFjjGgGUA6NLw09EwE0CqkOc4q9oUmW1yo/edit?usp=sharing"",""เพชรบูรณ์!J406"")"),2)</f>
        <v>2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IFERROR(__xludf.DUMMYFUNCTION("IMPORTRANGE(""https://docs.google.com/spreadsheets/d/11923uPwbBZFjjGgGUA6NLw09EwE0CqkOc4q9oUmW1yo/edit?usp=sharing"",""เพชรบูรณ์!I407"")"),0)</f>
        <v>0</v>
      </c>
      <c r="J512" s="207">
        <f ca="1">IFERROR(__xludf.DUMMYFUNCTION("IMPORTRANGE(""https://docs.google.com/spreadsheets/d/11923uPwbBZFjjGgGUA6NLw09EwE0CqkOc4q9oUmW1yo/edit?usp=sharing"",""เพชรบูรณ์!J407"")"),0)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IFERROR(__xludf.DUMMYFUNCTION("IMPORTRANGE(""https://docs.google.com/spreadsheets/d/11923uPwbBZFjjGgGUA6NLw09EwE0CqkOc4q9oUmW1yo/edit?usp=sharing"",""เพชรบูรณ์!I408"")"),0)</f>
        <v>0</v>
      </c>
      <c r="J513" s="207">
        <f ca="1">IFERROR(__xludf.DUMMYFUNCTION("IMPORTRANGE(""https://docs.google.com/spreadsheets/d/11923uPwbBZFjjGgGUA6NLw09EwE0CqkOc4q9oUmW1yo/edit?usp=sharing"",""เพชรบูรณ์!J408"")"),0)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IFERROR(__xludf.DUMMYFUNCTION("IMPORTRANGE(""https://docs.google.com/spreadsheets/d/11923uPwbBZFjjGgGUA6NLw09EwE0CqkOc4q9oUmW1yo/edit?usp=sharing"",""เพชรบูรณ์!I409"")"),0)</f>
        <v>0</v>
      </c>
      <c r="J514" s="207">
        <f ca="1">IFERROR(__xludf.DUMMYFUNCTION("IMPORTRANGE(""https://docs.google.com/spreadsheets/d/11923uPwbBZFjjGgGUA6NLw09EwE0CqkOc4q9oUmW1yo/edit?usp=sharing"",""เพชรบูรณ์!J409"")"),0)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IFERROR(__xludf.DUMMYFUNCTION("IMPORTRANGE(""https://docs.google.com/spreadsheets/d/11923uPwbBZFjjGgGUA6NLw09EwE0CqkOc4q9oUmW1yo/edit?usp=sharing"",""เพชรบูรณ์!I410"")"),0)</f>
        <v>0</v>
      </c>
      <c r="J515" s="207">
        <f ca="1">IFERROR(__xludf.DUMMYFUNCTION("IMPORTRANGE(""https://docs.google.com/spreadsheets/d/11923uPwbBZFjjGgGUA6NLw09EwE0CqkOc4q9oUmW1yo/edit?usp=sharing"",""เพชรบูรณ์!J410"")"),0)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IFERROR(__xludf.DUMMYFUNCTION("IMPORTRANGE(""https://docs.google.com/spreadsheets/d/11923uPwbBZFjjGgGUA6NLw09EwE0CqkOc4q9oUmW1yo/edit?usp=sharing"",""เพชรบูรณ์!I411"")"),0)</f>
        <v>0</v>
      </c>
      <c r="J516" s="276">
        <f ca="1">IFERROR(__xludf.DUMMYFUNCTION("IMPORTRANGE(""https://docs.google.com/spreadsheets/d/11923uPwbBZFjjGgGUA6NLw09EwE0CqkOc4q9oUmW1yo/edit?usp=sharing"",""เพชรบูรณ์!J411"")"),0)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IFERROR(__xludf.DUMMYFUNCTION("IMPORTRANGE(""https://docs.google.com/spreadsheets/d/11923uPwbBZFjjGgGUA6NLw09EwE0CqkOc4q9oUmW1yo/edit?usp=sharing"",""เพชรบูรณ์!I412"")"),0)</f>
        <v>0</v>
      </c>
      <c r="J517" s="292">
        <f ca="1">IFERROR(__xludf.DUMMYFUNCTION("IMPORTRANGE(""https://docs.google.com/spreadsheets/d/11923uPwbBZFjjGgGUA6NLw09EwE0CqkOc4q9oUmW1yo/edit?usp=sharing"",""เพชรบูรณ์!J412"")"),0)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IFERROR(__xludf.DUMMYFUNCTION("IMPORTRANGE(""https://docs.google.com/spreadsheets/d/11923uPwbBZFjjGgGUA6NLw09EwE0CqkOc4q9oUmW1yo/edit?usp=sharing"",""เพชรบูรณ์!I413"")"),0)</f>
        <v>0</v>
      </c>
      <c r="J518" s="292">
        <f ca="1">IFERROR(__xludf.DUMMYFUNCTION("IMPORTRANGE(""https://docs.google.com/spreadsheets/d/11923uPwbBZFjjGgGUA6NLw09EwE0CqkOc4q9oUmW1yo/edit?usp=sharing"",""เพชรบูรณ์!J413"")"),0)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IFERROR(__xludf.DUMMYFUNCTION("IMPORTRANGE(""https://docs.google.com/spreadsheets/d/11923uPwbBZFjjGgGUA6NLw09EwE0CqkOc4q9oUmW1yo/edit?usp=sharing"",""เพชรบูรณ์!I414"")"),0)</f>
        <v>0</v>
      </c>
      <c r="J519" s="197">
        <f ca="1">IFERROR(__xludf.DUMMYFUNCTION("IMPORTRANGE(""https://docs.google.com/spreadsheets/d/11923uPwbBZFjjGgGUA6NLw09EwE0CqkOc4q9oUmW1yo/edit?usp=sharing"",""เพชรบูรณ์!J414"")"),0)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IFERROR(__xludf.DUMMYFUNCTION("IMPORTRANGE(""https://docs.google.com/spreadsheets/d/11923uPwbBZFjjGgGUA6NLw09EwE0CqkOc4q9oUmW1yo/edit?usp=sharing"",""เพชรบูรณ์!I415"")"),0)</f>
        <v>0</v>
      </c>
      <c r="J520" s="197">
        <f ca="1">IFERROR(__xludf.DUMMYFUNCTION("IMPORTRANGE(""https://docs.google.com/spreadsheets/d/11923uPwbBZFjjGgGUA6NLw09EwE0CqkOc4q9oUmW1yo/edit?usp=sharing"",""เพชรบูรณ์!J415"")"),0)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IFERROR(__xludf.DUMMYFUNCTION("IMPORTRANGE(""https://docs.google.com/spreadsheets/d/11923uPwbBZFjjGgGUA6NLw09EwE0CqkOc4q9oUmW1yo/edit?usp=sharing"",""เพชรบูรณ์!I416"")"),0)</f>
        <v>0</v>
      </c>
      <c r="J521" s="197">
        <f ca="1">IFERROR(__xludf.DUMMYFUNCTION("IMPORTRANGE(""https://docs.google.com/spreadsheets/d/11923uPwbBZFjjGgGUA6NLw09EwE0CqkOc4q9oUmW1yo/edit?usp=sharing"",""เพชรบูรณ์!J416"")"),0)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IFERROR(__xludf.DUMMYFUNCTION("IMPORTRANGE(""https://docs.google.com/spreadsheets/d/11923uPwbBZFjjGgGUA6NLw09EwE0CqkOc4q9oUmW1yo/edit?usp=sharing"",""เพชรบูรณ์!I417"")"),0)</f>
        <v>0</v>
      </c>
      <c r="J522" s="197">
        <f ca="1">IFERROR(__xludf.DUMMYFUNCTION("IMPORTRANGE(""https://docs.google.com/spreadsheets/d/11923uPwbBZFjjGgGUA6NLw09EwE0CqkOc4q9oUmW1yo/edit?usp=sharing"",""เพชรบูรณ์!J417"")"),0)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IFERROR(__xludf.DUMMYFUNCTION("IMPORTRANGE(""https://docs.google.com/spreadsheets/d/11923uPwbBZFjjGgGUA6NLw09EwE0CqkOc4q9oUmW1yo/edit?usp=sharing"",""เพชรบูรณ์!I418"")"),0)</f>
        <v>0</v>
      </c>
      <c r="J523" s="197">
        <f ca="1">IFERROR(__xludf.DUMMYFUNCTION("IMPORTRANGE(""https://docs.google.com/spreadsheets/d/11923uPwbBZFjjGgGUA6NLw09EwE0CqkOc4q9oUmW1yo/edit?usp=sharing"",""เพชรบูรณ์!J418"")"),0)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IFERROR(__xludf.DUMMYFUNCTION("IMPORTRANGE(""https://docs.google.com/spreadsheets/d/11923uPwbBZFjjGgGUA6NLw09EwE0CqkOc4q9oUmW1yo/edit?usp=sharing"",""เพชรบูรณ์!I419"")"),0)</f>
        <v>0</v>
      </c>
      <c r="J524" s="197">
        <f ca="1">IFERROR(__xludf.DUMMYFUNCTION("IMPORTRANGE(""https://docs.google.com/spreadsheets/d/11923uPwbBZFjjGgGUA6NLw09EwE0CqkOc4q9oUmW1yo/edit?usp=sharing"",""เพชรบูรณ์!J419"")"),0)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IFERROR(__xludf.DUMMYFUNCTION("IMPORTRANGE(""https://docs.google.com/spreadsheets/d/11923uPwbBZFjjGgGUA6NLw09EwE0CqkOc4q9oUmW1yo/edit?usp=sharing"",""เพชรบูรณ์!I420"")"),0)</f>
        <v>0</v>
      </c>
      <c r="J525" s="292">
        <f ca="1">IFERROR(__xludf.DUMMYFUNCTION("IMPORTRANGE(""https://docs.google.com/spreadsheets/d/11923uPwbBZFjjGgGUA6NLw09EwE0CqkOc4q9oUmW1yo/edit?usp=sharing"",""เพชรบูรณ์!J420"")"),0)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IFERROR(__xludf.DUMMYFUNCTION("IMPORTRANGE(""https://docs.google.com/spreadsheets/d/11923uPwbBZFjjGgGUA6NLw09EwE0CqkOc4q9oUmW1yo/edit?usp=sharing"",""เพชรบูรณ์!I421"")"),0)</f>
        <v>0</v>
      </c>
      <c r="J526" s="292">
        <f ca="1">IFERROR(__xludf.DUMMYFUNCTION("IMPORTRANGE(""https://docs.google.com/spreadsheets/d/11923uPwbBZFjjGgGUA6NLw09EwE0CqkOc4q9oUmW1yo/edit?usp=sharing"",""เพชรบูรณ์!J421"")"),0)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IFERROR(__xludf.DUMMYFUNCTION("IMPORTRANGE(""https://docs.google.com/spreadsheets/d/11923uPwbBZFjjGgGUA6NLw09EwE0CqkOc4q9oUmW1yo/edit?usp=sharing"",""เพชรบูรณ์!I422"")"),0)</f>
        <v>0</v>
      </c>
      <c r="J527" s="207">
        <f ca="1">IFERROR(__xludf.DUMMYFUNCTION("IMPORTRANGE(""https://docs.google.com/spreadsheets/d/11923uPwbBZFjjGgGUA6NLw09EwE0CqkOc4q9oUmW1yo/edit?usp=sharing"",""เพชรบูรณ์!J422"")"),0)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IFERROR(__xludf.DUMMYFUNCTION("IMPORTRANGE(""https://docs.google.com/spreadsheets/d/11923uPwbBZFjjGgGUA6NLw09EwE0CqkOc4q9oUmW1yo/edit?usp=sharing"",""เพชรบูรณ์!I423"")"),0)</f>
        <v>0</v>
      </c>
      <c r="J528" s="207">
        <f ca="1">IFERROR(__xludf.DUMMYFUNCTION("IMPORTRANGE(""https://docs.google.com/spreadsheets/d/11923uPwbBZFjjGgGUA6NLw09EwE0CqkOc4q9oUmW1yo/edit?usp=sharing"",""เพชรบูรณ์!J423"")"),0)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IFERROR(__xludf.DUMMYFUNCTION("IMPORTRANGE(""https://docs.google.com/spreadsheets/d/11923uPwbBZFjjGgGUA6NLw09EwE0CqkOc4q9oUmW1yo/edit?usp=sharing"",""เพชรบูรณ์!I424"")"),0)</f>
        <v>0</v>
      </c>
      <c r="J529" s="207">
        <f ca="1">IFERROR(__xludf.DUMMYFUNCTION("IMPORTRANGE(""https://docs.google.com/spreadsheets/d/11923uPwbBZFjjGgGUA6NLw09EwE0CqkOc4q9oUmW1yo/edit?usp=sharing"",""เพชรบูรณ์!J424"")"),0)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IFERROR(__xludf.DUMMYFUNCTION("IMPORTRANGE(""https://docs.google.com/spreadsheets/d/11923uPwbBZFjjGgGUA6NLw09EwE0CqkOc4q9oUmW1yo/edit?usp=sharing"",""เพชรบูรณ์!I425"")"),0)</f>
        <v>0</v>
      </c>
      <c r="J530" s="207">
        <f ca="1">IFERROR(__xludf.DUMMYFUNCTION("IMPORTRANGE(""https://docs.google.com/spreadsheets/d/11923uPwbBZFjjGgGUA6NLw09EwE0CqkOc4q9oUmW1yo/edit?usp=sharing"",""เพชรบูรณ์!J425"")"),0)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IFERROR(__xludf.DUMMYFUNCTION("IMPORTRANGE(""https://docs.google.com/spreadsheets/d/11923uPwbBZFjjGgGUA6NLw09EwE0CqkOc4q9oUmW1yo/edit?usp=sharing"",""เพชรบูรณ์!I426"")"),0)</f>
        <v>0</v>
      </c>
      <c r="J531" s="207">
        <f ca="1">IFERROR(__xludf.DUMMYFUNCTION("IMPORTRANGE(""https://docs.google.com/spreadsheets/d/11923uPwbBZFjjGgGUA6NLw09EwE0CqkOc4q9oUmW1yo/edit?usp=sharing"",""เพชรบูรณ์!J426"")"),0)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IFERROR(__xludf.DUMMYFUNCTION("IMPORTRANGE(""https://docs.google.com/spreadsheets/d/11923uPwbBZFjjGgGUA6NLw09EwE0CqkOc4q9oUmW1yo/edit?usp=sharing"",""เพชรบูรณ์!I427"")"),0)</f>
        <v>0</v>
      </c>
      <c r="J532" s="474">
        <f ca="1">IFERROR(__xludf.DUMMYFUNCTION("IMPORTRANGE(""https://docs.google.com/spreadsheets/d/11923uPwbBZFjjGgGUA6NLw09EwE0CqkOc4q9oUmW1yo/edit?usp=sharing"",""เพชรบูรณ์!J427"")"),0)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IFERROR(__xludf.DUMMYFUNCTION("IMPORTRANGE(""https://docs.google.com/spreadsheets/d/11923uPwbBZFjjGgGUA6NLw09EwE0CqkOc4q9oUmW1yo/edit?usp=sharing"",""เพชรบูรณ์!I428"")"),22)</f>
        <v>22</v>
      </c>
      <c r="J533" s="418">
        <f ca="1">IFERROR(__xludf.DUMMYFUNCTION("IMPORTRANGE(""https://docs.google.com/spreadsheets/d/11923uPwbBZFjjGgGUA6NLw09EwE0CqkOc4q9oUmW1yo/edit?usp=sharing"",""เพชรบูรณ์!J428"")"),22)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IFERROR(__xludf.DUMMYFUNCTION("IMPORTRANGE(""https://docs.google.com/spreadsheets/d/11923uPwbBZFjjGgGUA6NLw09EwE0CqkOc4q9oUmW1yo/edit?usp=sharing"",""เพชรบูรณ์!L428"")"),34340)</f>
        <v>34340</v>
      </c>
      <c r="M533" s="420"/>
      <c r="N533" s="420">
        <f ca="1">IFERROR(__xludf.DUMMYFUNCTION("IMPORTRANGE(""https://docs.google.com/spreadsheets/d/11923uPwbBZFjjGgGUA6NLw09EwE0CqkOc4q9oUmW1yo/edit?usp=sharing"",""เพชรบูรณ์!M428"")"),17161)</f>
        <v>17161</v>
      </c>
      <c r="O533" s="420">
        <f t="shared" ref="O533:O537" ca="1" si="118">+IF(L533&gt;0,N533*100/L533,0)</f>
        <v>49.973791496796736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IFERROR(__xludf.DUMMYFUNCTION("IMPORTRANGE(""https://docs.google.com/spreadsheets/d/11923uPwbBZFjjGgGUA6NLw09EwE0CqkOc4q9oUmW1yo/edit?usp=sharing"",""เพชรบูรณ์!L429"")"),0)</f>
        <v>0</v>
      </c>
      <c r="M534" s="172"/>
      <c r="N534" s="178">
        <f ca="1">IFERROR(__xludf.DUMMYFUNCTION("IMPORTRANGE(""https://docs.google.com/spreadsheets/d/11923uPwbBZFjjGgGUA6NLw09EwE0CqkOc4q9oUmW1yo/edit?usp=sharing"",""เพชรบูรณ์!M429"")"),0)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IFERROR(__xludf.DUMMYFUNCTION("IMPORTRANGE(""https://docs.google.com/spreadsheets/d/11923uPwbBZFjjGgGUA6NLw09EwE0CqkOc4q9oUmW1yo/edit?usp=sharing"",""เพชรบูรณ์!L430"")"),34340)</f>
        <v>34340</v>
      </c>
      <c r="M535" s="173"/>
      <c r="N535" s="178">
        <f ca="1">IFERROR(__xludf.DUMMYFUNCTION("IMPORTRANGE(""https://docs.google.com/spreadsheets/d/11923uPwbBZFjjGgGUA6NLw09EwE0CqkOc4q9oUmW1yo/edit?usp=sharing"",""เพชรบูรณ์!M430"")"),17161)</f>
        <v>17161</v>
      </c>
      <c r="O535" s="178">
        <f t="shared" ca="1" si="118"/>
        <v>49.973791496796736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IFERROR(__xludf.DUMMYFUNCTION("IMPORTRANGE(""https://docs.google.com/spreadsheets/d/11923uPwbBZFjjGgGUA6NLw09EwE0CqkOc4q9oUmW1yo/edit?usp=sharing"",""เพชรบูรณ์!L431"")"),0)</f>
        <v>0</v>
      </c>
      <c r="M536" s="178"/>
      <c r="N536" s="178">
        <f ca="1">IFERROR(__xludf.DUMMYFUNCTION("IMPORTRANGE(""https://docs.google.com/spreadsheets/d/11923uPwbBZFjjGgGUA6NLw09EwE0CqkOc4q9oUmW1yo/edit?usp=sharing"",""เพชรบูรณ์!M431"")"),0)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IFERROR(__xludf.DUMMYFUNCTION("IMPORTRANGE(""https://docs.google.com/spreadsheets/d/11923uPwbBZFjjGgGUA6NLw09EwE0CqkOc4q9oUmW1yo/edit?usp=sharing"",""เพชรบูรณ์!L432"")"),34340)</f>
        <v>34340</v>
      </c>
      <c r="M537" s="178"/>
      <c r="N537" s="178">
        <f ca="1">IFERROR(__xludf.DUMMYFUNCTION("IMPORTRANGE(""https://docs.google.com/spreadsheets/d/11923uPwbBZFjjGgGUA6NLw09EwE0CqkOc4q9oUmW1yo/edit?usp=sharing"",""เพชรบูรณ์!M432"")"),17161)</f>
        <v>17161</v>
      </c>
      <c r="O537" s="178">
        <f t="shared" ca="1" si="118"/>
        <v>49.973791496796736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IFERROR(__xludf.DUMMYFUNCTION("IMPORTRANGE(""https://docs.google.com/spreadsheets/d/11923uPwbBZFjjGgGUA6NLw09EwE0CqkOc4q9oUmW1yo/edit?usp=sharing"",""เพชรบูรณ์!M433"")"),17161)</f>
        <v>17161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IFERROR(__xludf.DUMMYFUNCTION("IMPORTRANGE(""https://docs.google.com/spreadsheets/d/11923uPwbBZFjjGgGUA6NLw09EwE0CqkOc4q9oUmW1yo/edit?usp=sharing"",""เพชรบูรณ์!M434"")"),0)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IFERROR(__xludf.DUMMYFUNCTION("IMPORTRANGE(""https://docs.google.com/spreadsheets/d/11923uPwbBZFjjGgGUA6NLw09EwE0CqkOc4q9oUmW1yo/edit?usp=sharing"",""เพชรบูรณ์!M435"")"),0)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IFERROR(__xludf.DUMMYFUNCTION("IMPORTRANGE(""https://docs.google.com/spreadsheets/d/11923uPwbBZFjjGgGUA6NLw09EwE0CqkOc4q9oUmW1yo/edit?usp=sharing"",""เพชรบูรณ์!M436"")"),0)</f>
        <v>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IFERROR(__xludf.DUMMYFUNCTION("IMPORTRANGE(""https://docs.google.com/spreadsheets/d/11923uPwbBZFjjGgGUA6NLw09EwE0CqkOc4q9oUmW1yo/edit?usp=sharing"",""เพชรบูรณ์!J438"")"),0)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IFERROR(__xludf.DUMMYFUNCTION("IMPORTRANGE(""https://docs.google.com/spreadsheets/d/11923uPwbBZFjjGgGUA6NLw09EwE0CqkOc4q9oUmW1yo/edit?usp=sharing"",""เพชรบูรณ์!J439"")"),1)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IFERROR(__xludf.DUMMYFUNCTION("IMPORTRANGE(""https://docs.google.com/spreadsheets/d/11923uPwbBZFjjGgGUA6NLw09EwE0CqkOc4q9oUmW1yo/edit?usp=sharing"",""เพชรบูรณ์!J440"")"),1)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IFERROR(__xludf.DUMMYFUNCTION("IMPORTRANGE(""https://docs.google.com/spreadsheets/d/11923uPwbBZFjjGgGUA6NLw09EwE0CqkOc4q9oUmW1yo/edit?usp=sharing"",""เพชรบูรณ์!J441"")"),1)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IFERROR(__xludf.DUMMYFUNCTION("IMPORTRANGE(""https://docs.google.com/spreadsheets/d/11923uPwbBZFjjGgGUA6NLw09EwE0CqkOc4q9oUmW1yo/edit?usp=sharing"",""เพชรบูรณ์!I442"")"),22)</f>
        <v>22</v>
      </c>
      <c r="J547" s="198">
        <f ca="1">IFERROR(__xludf.DUMMYFUNCTION("IMPORTRANGE(""https://docs.google.com/spreadsheets/d/11923uPwbBZFjjGgGUA6NLw09EwE0CqkOc4q9oUmW1yo/edit?usp=sharing"",""เพชรบูรณ์!J442"")"),22)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IFERROR(__xludf.DUMMYFUNCTION("IMPORTRANGE(""https://docs.google.com/spreadsheets/d/11923uPwbBZFjjGgGUA6NLw09EwE0CqkOc4q9oUmW1yo/edit?usp=sharing"",""เพชรบูรณ์!J166"")"),0)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IFERROR(__xludf.DUMMYFUNCTION("IMPORTRANGE(""https://docs.google.com/spreadsheets/d/11923uPwbBZFjjGgGUA6NLw09EwE0CqkOc4q9oUmW1yo/edit?usp=sharing"",""เพชรบูรณ์!J444"")"),0)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IFERROR(__xludf.DUMMYFUNCTION("IMPORTRANGE(""https://docs.google.com/spreadsheets/d/11923uPwbBZFjjGgGUA6NLw09EwE0CqkOc4q9oUmW1yo/edit?usp=sharing"",""เพชรบูรณ์!J445"")"),0)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IFERROR(__xludf.DUMMYFUNCTION("IMPORTRANGE(""https://docs.google.com/spreadsheets/d/11923uPwbBZFjjGgGUA6NLw09EwE0CqkOc4q9oUmW1yo/edit?usp=sharing"",""เพชรบูรณ์!I446"")"),0)</f>
        <v>0</v>
      </c>
      <c r="J551" s="418">
        <f ca="1">IFERROR(__xludf.DUMMYFUNCTION("IMPORTRANGE(""https://docs.google.com/spreadsheets/d/11923uPwbBZFjjGgGUA6NLw09EwE0CqkOc4q9oUmW1yo/edit?usp=sharing"",""เพชรบูรณ์!J446"")"),0)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IFERROR(__xludf.DUMMYFUNCTION("IMPORTRANGE(""https://docs.google.com/spreadsheets/d/11923uPwbBZFjjGgGUA6NLw09EwE0CqkOc4q9oUmW1yo/edit?usp=sharing"",""เพชรบูรณ์!L446"")"),0)</f>
        <v>0</v>
      </c>
      <c r="M551" s="420"/>
      <c r="N551" s="420">
        <f ca="1">IFERROR(__xludf.DUMMYFUNCTION("IMPORTRANGE(""https://docs.google.com/spreadsheets/d/11923uPwbBZFjjGgGUA6NLw09EwE0CqkOc4q9oUmW1yo/edit?usp=sharing"",""เพชรบูรณ์!M446"")"),0)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IFERROR(__xludf.DUMMYFUNCTION("IMPORTRANGE(""https://docs.google.com/spreadsheets/d/11923uPwbBZFjjGgGUA6NLw09EwE0CqkOc4q9oUmW1yo/edit?usp=sharing"",""เพชรบูรณ์!L447"")"),0)</f>
        <v>0</v>
      </c>
      <c r="M552" s="172"/>
      <c r="N552" s="178">
        <f ca="1">IFERROR(__xludf.DUMMYFUNCTION("IMPORTRANGE(""https://docs.google.com/spreadsheets/d/11923uPwbBZFjjGgGUA6NLw09EwE0CqkOc4q9oUmW1yo/edit?usp=sharing"",""เพชรบูรณ์!M447"")"),0)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IFERROR(__xludf.DUMMYFUNCTION("IMPORTRANGE(""https://docs.google.com/spreadsheets/d/11923uPwbBZFjjGgGUA6NLw09EwE0CqkOc4q9oUmW1yo/edit?usp=sharing"",""เพชรบูรณ์!L448"")"),0)</f>
        <v>0</v>
      </c>
      <c r="M553" s="173"/>
      <c r="N553" s="178">
        <f ca="1">IFERROR(__xludf.DUMMYFUNCTION("IMPORTRANGE(""https://docs.google.com/spreadsheets/d/11923uPwbBZFjjGgGUA6NLw09EwE0CqkOc4q9oUmW1yo/edit?usp=sharing"",""เพชรบูรณ์!M448"")"),0)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IFERROR(__xludf.DUMMYFUNCTION("IMPORTRANGE(""https://docs.google.com/spreadsheets/d/11923uPwbBZFjjGgGUA6NLw09EwE0CqkOc4q9oUmW1yo/edit?usp=sharing"",""เพชรบูรณ์!L449"")"),0)</f>
        <v>0</v>
      </c>
      <c r="M554" s="178"/>
      <c r="N554" s="178">
        <f ca="1">IFERROR(__xludf.DUMMYFUNCTION("IMPORTRANGE(""https://docs.google.com/spreadsheets/d/11923uPwbBZFjjGgGUA6NLw09EwE0CqkOc4q9oUmW1yo/edit?usp=sharing"",""เพชรบูรณ์!M449"")"),0)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IFERROR(__xludf.DUMMYFUNCTION("IMPORTRANGE(""https://docs.google.com/spreadsheets/d/11923uPwbBZFjjGgGUA6NLw09EwE0CqkOc4q9oUmW1yo/edit?usp=sharing"",""เพชรบูรณ์!L450"")"),0)</f>
        <v>0</v>
      </c>
      <c r="M555" s="178"/>
      <c r="N555" s="178">
        <f ca="1">IFERROR(__xludf.DUMMYFUNCTION("IMPORTRANGE(""https://docs.google.com/spreadsheets/d/11923uPwbBZFjjGgGUA6NLw09EwE0CqkOc4q9oUmW1yo/edit?usp=sharing"",""เพชรบูรณ์!M450"")"),0)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IFERROR(__xludf.DUMMYFUNCTION("IMPORTRANGE(""https://docs.google.com/spreadsheets/d/11923uPwbBZFjjGgGUA6NLw09EwE0CqkOc4q9oUmW1yo/edit?usp=sharing"",""เพชรบูรณ์!M451"")"),0)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IFERROR(__xludf.DUMMYFUNCTION("IMPORTRANGE(""https://docs.google.com/spreadsheets/d/11923uPwbBZFjjGgGUA6NLw09EwE0CqkOc4q9oUmW1yo/edit?usp=sharing"",""เพชรบูรณ์!M452"")"),0)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IFERROR(__xludf.DUMMYFUNCTION("IMPORTRANGE(""https://docs.google.com/spreadsheets/d/11923uPwbBZFjjGgGUA6NLw09EwE0CqkOc4q9oUmW1yo/edit?usp=sharing"",""เพชรบูรณ์!M453"")"),0)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IFERROR(__xludf.DUMMYFUNCTION("IMPORTRANGE(""https://docs.google.com/spreadsheets/d/11923uPwbBZFjjGgGUA6NLw09EwE0CqkOc4q9oUmW1yo/edit?usp=sharing"",""เพชรบูรณ์!M454"")"),0)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IFERROR(__xludf.DUMMYFUNCTION("IMPORTRANGE(""https://docs.google.com/spreadsheets/d/11923uPwbBZFjjGgGUA6NLw09EwE0CqkOc4q9oUmW1yo/edit?usp=sharing"",""เพชรบูรณ์!I455"")"),0)</f>
        <v>0</v>
      </c>
      <c r="J560" s="170">
        <f ca="1">IFERROR(__xludf.DUMMYFUNCTION("IMPORTRANGE(""https://docs.google.com/spreadsheets/d/11923uPwbBZFjjGgGUA6NLw09EwE0CqkOc4q9oUmW1yo/edit?usp=sharing"",""เพชรบูรณ์!J455"")"),0)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IFERROR(__xludf.DUMMYFUNCTION("IMPORTRANGE(""https://docs.google.com/spreadsheets/d/11923uPwbBZFjjGgGUA6NLw09EwE0CqkOc4q9oUmW1yo/edit?usp=sharing"",""เพชรบูรณ์!I456"")"),0)</f>
        <v>0</v>
      </c>
      <c r="J561" s="213">
        <f ca="1">IFERROR(__xludf.DUMMYFUNCTION("IMPORTRANGE(""https://docs.google.com/spreadsheets/d/11923uPwbBZFjjGgGUA6NLw09EwE0CqkOc4q9oUmW1yo/edit?usp=sharing"",""เพชรบูรณ์!J456"")"),0)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 t="str">
        <f ca="1">IFERROR(__xludf.DUMMYFUNCTION("IMPORTRANGE(""https://docs.google.com/spreadsheets/d/11923uPwbBZFjjGgGUA6NLw09EwE0CqkOc4q9oUmW1yo/edit?usp=sharing"",""เพชรบูรณ์!I457"")"),"")</f>
        <v/>
      </c>
      <c r="J562" s="213" t="str">
        <f ca="1">IFERROR(__xludf.DUMMYFUNCTION("IMPORTRANGE(""https://docs.google.com/spreadsheets/d/11923uPwbBZFjjGgGUA6NLw09EwE0CqkOc4q9oUmW1yo/edit?usp=sharing"",""เพชรบูรณ์!J457"")"),"")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 t="str">
        <f ca="1">IFERROR(__xludf.DUMMYFUNCTION("IMPORTRANGE(""https://docs.google.com/spreadsheets/d/11923uPwbBZFjjGgGUA6NLw09EwE0CqkOc4q9oUmW1yo/edit?usp=sharing"",""เพชรบูรณ์!I458"")"),"")</f>
        <v/>
      </c>
      <c r="J563" s="197" t="str">
        <f ca="1">IFERROR(__xludf.DUMMYFUNCTION("IMPORTRANGE(""https://docs.google.com/spreadsheets/d/11923uPwbBZFjjGgGUA6NLw09EwE0CqkOc4q9oUmW1yo/edit?usp=sharing"",""เพชรบูรณ์!J458"")"),"")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IFERROR(__xludf.DUMMYFUNCTION("IMPORTRANGE(""https://docs.google.com/spreadsheets/d/11923uPwbBZFjjGgGUA6NLw09EwE0CqkOc4q9oUmW1yo/edit?usp=sharing"",""เพชรบูรณ์!I459"")"),3850)</f>
        <v>3850</v>
      </c>
      <c r="J564" s="379">
        <f ca="1">IFERROR(__xludf.DUMMYFUNCTION("IMPORTRANGE(""https://docs.google.com/spreadsheets/d/11923uPwbBZFjjGgGUA6NLw09EwE0CqkOc4q9oUmW1yo/edit?usp=sharing"",""เพชรบูรณ์!J459"")"),3981)</f>
        <v>3981</v>
      </c>
      <c r="K564" s="380">
        <f t="shared" ca="1" si="121"/>
        <v>103.40259740259741</v>
      </c>
      <c r="L564" s="381">
        <f ca="1">IFERROR(__xludf.DUMMYFUNCTION("IMPORTRANGE(""https://docs.google.com/spreadsheets/d/11923uPwbBZFjjGgGUA6NLw09EwE0CqkOc4q9oUmW1yo/edit?usp=sharing"",""เพชรบูรณ์!L459"")"),157200)</f>
        <v>157200</v>
      </c>
      <c r="M564" s="381"/>
      <c r="N564" s="381">
        <f ca="1">IFERROR(__xludf.DUMMYFUNCTION("IMPORTRANGE(""https://docs.google.com/spreadsheets/d/11923uPwbBZFjjGgGUA6NLw09EwE0CqkOc4q9oUmW1yo/edit?usp=sharing"",""เพชรบูรณ์!M459"")"),57681.46)</f>
        <v>57681.46</v>
      </c>
      <c r="O564" s="381">
        <f t="shared" ref="O564:O568" ca="1" si="122">+IF(L564&gt;0,N564*100/L564,0)</f>
        <v>36.693040712468196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IFERROR(__xludf.DUMMYFUNCTION("IMPORTRANGE(""https://docs.google.com/spreadsheets/d/11923uPwbBZFjjGgGUA6NLw09EwE0CqkOc4q9oUmW1yo/edit?usp=sharing"",""เพชรบูรณ์!L460"")"),0)</f>
        <v>0</v>
      </c>
      <c r="M565" s="172"/>
      <c r="N565" s="178">
        <f ca="1">IFERROR(__xludf.DUMMYFUNCTION("IMPORTRANGE(""https://docs.google.com/spreadsheets/d/11923uPwbBZFjjGgGUA6NLw09EwE0CqkOc4q9oUmW1yo/edit?usp=sharing"",""เพชรบูรณ์!M460"")"),0)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IFERROR(__xludf.DUMMYFUNCTION("IMPORTRANGE(""https://docs.google.com/spreadsheets/d/11923uPwbBZFjjGgGUA6NLw09EwE0CqkOc4q9oUmW1yo/edit?usp=sharing"",""เพชรบูรณ์!L461"")"),157200)</f>
        <v>157200</v>
      </c>
      <c r="M566" s="173"/>
      <c r="N566" s="178">
        <f ca="1">IFERROR(__xludf.DUMMYFUNCTION("IMPORTRANGE(""https://docs.google.com/spreadsheets/d/11923uPwbBZFjjGgGUA6NLw09EwE0CqkOc4q9oUmW1yo/edit?usp=sharing"",""เพชรบูรณ์!M461"")"),57681.46)</f>
        <v>57681.46</v>
      </c>
      <c r="O566" s="178">
        <f t="shared" ca="1" si="122"/>
        <v>36.693040712468196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IFERROR(__xludf.DUMMYFUNCTION("IMPORTRANGE(""https://docs.google.com/spreadsheets/d/11923uPwbBZFjjGgGUA6NLw09EwE0CqkOc4q9oUmW1yo/edit?usp=sharing"",""เพชรบูรณ์!L462"")"),0)</f>
        <v>0</v>
      </c>
      <c r="M567" s="178"/>
      <c r="N567" s="178">
        <f ca="1">IFERROR(__xludf.DUMMYFUNCTION("IMPORTRANGE(""https://docs.google.com/spreadsheets/d/11923uPwbBZFjjGgGUA6NLw09EwE0CqkOc4q9oUmW1yo/edit?usp=sharing"",""เพชรบูรณ์!M462"")"),0)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IFERROR(__xludf.DUMMYFUNCTION("IMPORTRANGE(""https://docs.google.com/spreadsheets/d/11923uPwbBZFjjGgGUA6NLw09EwE0CqkOc4q9oUmW1yo/edit?usp=sharing"",""เพชรบูรณ์!L463"")"),157200)</f>
        <v>157200</v>
      </c>
      <c r="M568" s="178"/>
      <c r="N568" s="178">
        <f ca="1">IFERROR(__xludf.DUMMYFUNCTION("IMPORTRANGE(""https://docs.google.com/spreadsheets/d/11923uPwbBZFjjGgGUA6NLw09EwE0CqkOc4q9oUmW1yo/edit?usp=sharing"",""เพชรบูรณ์!M463"")"),57681.46)</f>
        <v>57681.46</v>
      </c>
      <c r="O568" s="178">
        <f t="shared" ca="1" si="122"/>
        <v>36.693040712468196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IFERROR(__xludf.DUMMYFUNCTION("IMPORTRANGE(""https://docs.google.com/spreadsheets/d/11923uPwbBZFjjGgGUA6NLw09EwE0CqkOc4q9oUmW1yo/edit?usp=sharing"",""เพชรบูรณ์!M464"")"),0)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IFERROR(__xludf.DUMMYFUNCTION("IMPORTRANGE(""https://docs.google.com/spreadsheets/d/11923uPwbBZFjjGgGUA6NLw09EwE0CqkOc4q9oUmW1yo/edit?usp=sharing"",""เพชรบูรณ์!M465"")"),0)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IFERROR(__xludf.DUMMYFUNCTION("IMPORTRANGE(""https://docs.google.com/spreadsheets/d/11923uPwbBZFjjGgGUA6NLw09EwE0CqkOc4q9oUmW1yo/edit?usp=sharing"",""เพชรบูรณ์!M466"")"),43248)</f>
        <v>43248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IFERROR(__xludf.DUMMYFUNCTION("IMPORTRANGE(""https://docs.google.com/spreadsheets/d/11923uPwbBZFjjGgGUA6NLw09EwE0CqkOc4q9oUmW1yo/edit?usp=sharing"",""เพชรบูรณ์!M467"")"),14433.46)</f>
        <v>14433.46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IFERROR(__xludf.DUMMYFUNCTION("IMPORTRANGE(""https://docs.google.com/spreadsheets/d/11923uPwbBZFjjGgGUA6NLw09EwE0CqkOc4q9oUmW1yo/edit?usp=sharing"",""เพชรบูรณ์!I468"")"),3850)</f>
        <v>3850</v>
      </c>
      <c r="J573" s="428">
        <f ca="1">IFERROR(__xludf.DUMMYFUNCTION("IMPORTRANGE(""https://docs.google.com/spreadsheets/d/11923uPwbBZFjjGgGUA6NLw09EwE0CqkOc4q9oUmW1yo/edit?usp=sharing"",""เพชรบูรณ์!J468"")"),3981)</f>
        <v>3981</v>
      </c>
      <c r="K573" s="211">
        <f ca="1">IF(I573&gt;0,J573*100/I573,0)</f>
        <v>103.40259740259741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IFERROR(__xludf.DUMMYFUNCTION("IMPORTRANGE(""https://docs.google.com/spreadsheets/d/11923uPwbBZFjjGgGUA6NLw09EwE0CqkOc4q9oUmW1yo/edit?usp=sharing"",""เพชรบูรณ์!I470"")"),0)</f>
        <v>0</v>
      </c>
      <c r="J575" s="207">
        <f ca="1">IFERROR(__xludf.DUMMYFUNCTION("IMPORTRANGE(""https://docs.google.com/spreadsheets/d/11923uPwbBZFjjGgGUA6NLw09EwE0CqkOc4q9oUmW1yo/edit?usp=sharing"",""เพชรบูรณ์!J470"")"),3)</f>
        <v>3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IFERROR(__xludf.DUMMYFUNCTION("IMPORTRANGE(""https://docs.google.com/spreadsheets/d/11923uPwbBZFjjGgGUA6NLw09EwE0CqkOc4q9oUmW1yo/edit?usp=sharing"",""เพชรบูรณ์!I471"")"),0)</f>
        <v>0</v>
      </c>
      <c r="J576" s="207">
        <f ca="1">IFERROR(__xludf.DUMMYFUNCTION("IMPORTRANGE(""https://docs.google.com/spreadsheets/d/11923uPwbBZFjjGgGUA6NLw09EwE0CqkOc4q9oUmW1yo/edit?usp=sharing"",""เพชรบูรณ์!J471"")"),377)</f>
        <v>377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IFERROR(__xludf.DUMMYFUNCTION("IMPORTRANGE(""https://docs.google.com/spreadsheets/d/11923uPwbBZFjjGgGUA6NLw09EwE0CqkOc4q9oUmW1yo/edit?usp=sharing"",""เพชรบูรณ์!I472"")"),0)</f>
        <v>0</v>
      </c>
      <c r="J577" s="198">
        <f ca="1">IFERROR(__xludf.DUMMYFUNCTION("IMPORTRANGE(""https://docs.google.com/spreadsheets/d/11923uPwbBZFjjGgGUA6NLw09EwE0CqkOc4q9oUmW1yo/edit?usp=sharing"",""เพชรบูรณ์!J472"")"),3572)</f>
        <v>3572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IFERROR(__xludf.DUMMYFUNCTION("IMPORTRANGE(""https://docs.google.com/spreadsheets/d/11923uPwbBZFjjGgGUA6NLw09EwE0CqkOc4q9oUmW1yo/edit?usp=sharing"",""เพชรบูรณ์!I473"")"),0)</f>
        <v>0</v>
      </c>
      <c r="J578" s="207">
        <f ca="1">IFERROR(__xludf.DUMMYFUNCTION("IMPORTRANGE(""https://docs.google.com/spreadsheets/d/11923uPwbBZFjjGgGUA6NLw09EwE0CqkOc4q9oUmW1yo/edit?usp=sharing"",""เพชรบูรณ์!J473"")"),2)</f>
        <v>2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IFERROR(__xludf.DUMMYFUNCTION("IMPORTRANGE(""https://docs.google.com/spreadsheets/d/11923uPwbBZFjjGgGUA6NLw09EwE0CqkOc4q9oUmW1yo/edit?usp=sharing"",""เพชรบูรณ์!I474"")"),0)</f>
        <v>0</v>
      </c>
      <c r="J579" s="207">
        <f ca="1">IFERROR(__xludf.DUMMYFUNCTION("IMPORTRANGE(""https://docs.google.com/spreadsheets/d/11923uPwbBZFjjGgGUA6NLw09EwE0CqkOc4q9oUmW1yo/edit?usp=sharing"",""เพชรบูรณ์!J474"")"),30)</f>
        <v>30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IFERROR(__xludf.DUMMYFUNCTION("IMPORTRANGE(""https://docs.google.com/spreadsheets/d/11923uPwbBZFjjGgGUA6NLw09EwE0CqkOc4q9oUmW1yo/edit?usp=sharing"",""เพชรบูรณ์!I475"")"),300)</f>
        <v>300</v>
      </c>
      <c r="J580" s="379">
        <f ca="1">IFERROR(__xludf.DUMMYFUNCTION("IMPORTRANGE(""https://docs.google.com/spreadsheets/d/11923uPwbBZFjjGgGUA6NLw09EwE0CqkOc4q9oUmW1yo/edit?usp=sharing"",""เพชรบูรณ์!J475"")"),15)</f>
        <v>15</v>
      </c>
      <c r="K580" s="380">
        <f ca="1">IF(I580&gt;0,J580*100/I580,0)</f>
        <v>5</v>
      </c>
      <c r="L580" s="381">
        <f ca="1">IFERROR(__xludf.DUMMYFUNCTION("IMPORTRANGE(""https://docs.google.com/spreadsheets/d/11923uPwbBZFjjGgGUA6NLw09EwE0CqkOc4q9oUmW1yo/edit?usp=sharing"",""เพชรบูรณ์!L475"")"),346950)</f>
        <v>346950</v>
      </c>
      <c r="M580" s="381"/>
      <c r="N580" s="381">
        <f ca="1">IFERROR(__xludf.DUMMYFUNCTION("IMPORTRANGE(""https://docs.google.com/spreadsheets/d/11923uPwbBZFjjGgGUA6NLw09EwE0CqkOc4q9oUmW1yo/edit?usp=sharing"",""เพชรบูรณ์!M475"")"),100936)</f>
        <v>100936</v>
      </c>
      <c r="O580" s="381">
        <f t="shared" ref="O580:O584" ca="1" si="124">+IF(L580&gt;0,N580*100/L580,0)</f>
        <v>29.092376423115724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IFERROR(__xludf.DUMMYFUNCTION("IMPORTRANGE(""https://docs.google.com/spreadsheets/d/11923uPwbBZFjjGgGUA6NLw09EwE0CqkOc4q9oUmW1yo/edit?usp=sharing"",""เพชรบูรณ์!L476"")"),0)</f>
        <v>0</v>
      </c>
      <c r="M581" s="172"/>
      <c r="N581" s="178">
        <f ca="1">IFERROR(__xludf.DUMMYFUNCTION("IMPORTRANGE(""https://docs.google.com/spreadsheets/d/11923uPwbBZFjjGgGUA6NLw09EwE0CqkOc4q9oUmW1yo/edit?usp=sharing"",""เพชรบูรณ์!M476"")"),0)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IFERROR(__xludf.DUMMYFUNCTION("IMPORTRANGE(""https://docs.google.com/spreadsheets/d/11923uPwbBZFjjGgGUA6NLw09EwE0CqkOc4q9oUmW1yo/edit?usp=sharing"",""เพชรบูรณ์!L477"")"),346950)</f>
        <v>346950</v>
      </c>
      <c r="M582" s="173"/>
      <c r="N582" s="178">
        <f ca="1">IFERROR(__xludf.DUMMYFUNCTION("IMPORTRANGE(""https://docs.google.com/spreadsheets/d/11923uPwbBZFjjGgGUA6NLw09EwE0CqkOc4q9oUmW1yo/edit?usp=sharing"",""เพชรบูรณ์!M477"")"),100936)</f>
        <v>100936</v>
      </c>
      <c r="O582" s="178">
        <f t="shared" ca="1" si="124"/>
        <v>29.092376423115724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IFERROR(__xludf.DUMMYFUNCTION("IMPORTRANGE(""https://docs.google.com/spreadsheets/d/11923uPwbBZFjjGgGUA6NLw09EwE0CqkOc4q9oUmW1yo/edit?usp=sharing"",""เพชรบูรณ์!L478"")"),0)</f>
        <v>0</v>
      </c>
      <c r="M583" s="178"/>
      <c r="N583" s="178">
        <f ca="1">IFERROR(__xludf.DUMMYFUNCTION("IMPORTRANGE(""https://docs.google.com/spreadsheets/d/11923uPwbBZFjjGgGUA6NLw09EwE0CqkOc4q9oUmW1yo/edit?usp=sharing"",""เพชรบูรณ์!M478"")"),0)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IFERROR(__xludf.DUMMYFUNCTION("IMPORTRANGE(""https://docs.google.com/spreadsheets/d/11923uPwbBZFjjGgGUA6NLw09EwE0CqkOc4q9oUmW1yo/edit?usp=sharing"",""เพชรบูรณ์!L479"")"),346950)</f>
        <v>346950</v>
      </c>
      <c r="M584" s="178"/>
      <c r="N584" s="178">
        <f ca="1">IFERROR(__xludf.DUMMYFUNCTION("IMPORTRANGE(""https://docs.google.com/spreadsheets/d/11923uPwbBZFjjGgGUA6NLw09EwE0CqkOc4q9oUmW1yo/edit?usp=sharing"",""เพชรบูรณ์!M479"")"),100936)</f>
        <v>100936</v>
      </c>
      <c r="O584" s="178">
        <f t="shared" ca="1" si="124"/>
        <v>29.092376423115724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IFERROR(__xludf.DUMMYFUNCTION("IMPORTRANGE(""https://docs.google.com/spreadsheets/d/11923uPwbBZFjjGgGUA6NLw09EwE0CqkOc4q9oUmW1yo/edit?usp=sharing"",""เพชรบูรณ์!M480"")"),0)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IFERROR(__xludf.DUMMYFUNCTION("IMPORTRANGE(""https://docs.google.com/spreadsheets/d/11923uPwbBZFjjGgGUA6NLw09EwE0CqkOc4q9oUmW1yo/edit?usp=sharing"",""เพชรบูรณ์!M481"")"),0)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IFERROR(__xludf.DUMMYFUNCTION("IMPORTRANGE(""https://docs.google.com/spreadsheets/d/11923uPwbBZFjjGgGUA6NLw09EwE0CqkOc4q9oUmW1yo/edit?usp=sharing"",""เพชรบูรณ์!M482"")"),37026)</f>
        <v>37026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IFERROR(__xludf.DUMMYFUNCTION("IMPORTRANGE(""https://docs.google.com/spreadsheets/d/11923uPwbBZFjjGgGUA6NLw09EwE0CqkOc4q9oUmW1yo/edit?usp=sharing"",""เพชรบูรณ์!M483"")"),63910)</f>
        <v>63910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IFERROR(__xludf.DUMMYFUNCTION("IMPORTRANGE(""https://docs.google.com/spreadsheets/d/11923uPwbBZFjjGgGUA6NLw09EwE0CqkOc4q9oUmW1yo/edit?usp=sharing"",""เพชรบูรณ์!I484"")"),300)</f>
        <v>300</v>
      </c>
      <c r="J589" s="197">
        <f ca="1">IFERROR(__xludf.DUMMYFUNCTION("IMPORTRANGE(""https://docs.google.com/spreadsheets/d/11923uPwbBZFjjGgGUA6NLw09EwE0CqkOc4q9oUmW1yo/edit?usp=sharing"",""เพชรบูรณ์!J484"")"),93)</f>
        <v>93</v>
      </c>
      <c r="K589" s="171">
        <f t="shared" ref="K589:K596" ca="1" si="125">IF(I589&gt;0,J589*100/I589,0)</f>
        <v>31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IFERROR(__xludf.DUMMYFUNCTION("IMPORTRANGE(""https://docs.google.com/spreadsheets/d/11923uPwbBZFjjGgGUA6NLw09EwE0CqkOc4q9oUmW1yo/edit?usp=sharing"",""เพชรบูรณ์!I485"")"),0)</f>
        <v>0</v>
      </c>
      <c r="J590" s="197">
        <f ca="1">IFERROR(__xludf.DUMMYFUNCTION("IMPORTRANGE(""https://docs.google.com/spreadsheets/d/11923uPwbBZFjjGgGUA6NLw09EwE0CqkOc4q9oUmW1yo/edit?usp=sharing"",""เพชรบูรณ์!J485"")"),55.24)</f>
        <v>55.24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IFERROR(__xludf.DUMMYFUNCTION("IMPORTRANGE(""https://docs.google.com/spreadsheets/d/11923uPwbBZFjjGgGUA6NLw09EwE0CqkOc4q9oUmW1yo/edit?usp=sharing"",""เพชรบูรณ์!I486"")"),300)</f>
        <v>300</v>
      </c>
      <c r="J591" s="197">
        <f ca="1">IFERROR(__xludf.DUMMYFUNCTION("IMPORTRANGE(""https://docs.google.com/spreadsheets/d/11923uPwbBZFjjGgGUA6NLw09EwE0CqkOc4q9oUmW1yo/edit?usp=sharing"",""เพชรบูรณ์!J486"")"),14)</f>
        <v>14</v>
      </c>
      <c r="K591" s="171">
        <f t="shared" ca="1" si="125"/>
        <v>4.666666666666667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IFERROR(__xludf.DUMMYFUNCTION("IMPORTRANGE(""https://docs.google.com/spreadsheets/d/11923uPwbBZFjjGgGUA6NLw09EwE0CqkOc4q9oUmW1yo/edit?usp=sharing"",""เพชรบูรณ์!I487"")"),0)</f>
        <v>0</v>
      </c>
      <c r="J592" s="197">
        <f ca="1">IFERROR(__xludf.DUMMYFUNCTION("IMPORTRANGE(""https://docs.google.com/spreadsheets/d/11923uPwbBZFjjGgGUA6NLw09EwE0CqkOc4q9oUmW1yo/edit?usp=sharing"",""เพชรบูรณ์!J487"")"),7.91)</f>
        <v>7.91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IFERROR(__xludf.DUMMYFUNCTION("IMPORTRANGE(""https://docs.google.com/spreadsheets/d/11923uPwbBZFjjGgGUA6NLw09EwE0CqkOc4q9oUmW1yo/edit?usp=sharing"",""เพชรบูรณ์!I488"")"),300)</f>
        <v>300</v>
      </c>
      <c r="J593" s="197">
        <f ca="1">IFERROR(__xludf.DUMMYFUNCTION("IMPORTRANGE(""https://docs.google.com/spreadsheets/d/11923uPwbBZFjjGgGUA6NLw09EwE0CqkOc4q9oUmW1yo/edit?usp=sharing"",""เพชรบูรณ์!J488"")"),0)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IFERROR(__xludf.DUMMYFUNCTION("IMPORTRANGE(""https://docs.google.com/spreadsheets/d/11923uPwbBZFjjGgGUA6NLw09EwE0CqkOc4q9oUmW1yo/edit?usp=sharing"",""เพชรบูรณ์!I489"")"),0)</f>
        <v>0</v>
      </c>
      <c r="J594" s="197">
        <f ca="1">IFERROR(__xludf.DUMMYFUNCTION("IMPORTRANGE(""https://docs.google.com/spreadsheets/d/11923uPwbBZFjjGgGUA6NLw09EwE0CqkOc4q9oUmW1yo/edit?usp=sharing"",""เพชรบูรณ์!J489"")"),0)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IFERROR(__xludf.DUMMYFUNCTION("IMPORTRANGE(""https://docs.google.com/spreadsheets/d/11923uPwbBZFjjGgGUA6NLw09EwE0CqkOc4q9oUmW1yo/edit?usp=sharing"",""เพชรบูรณ์!I490"")"),300)</f>
        <v>300</v>
      </c>
      <c r="J595" s="197">
        <f ca="1">IFERROR(__xludf.DUMMYFUNCTION("IMPORTRANGE(""https://docs.google.com/spreadsheets/d/11923uPwbBZFjjGgGUA6NLw09EwE0CqkOc4q9oUmW1yo/edit?usp=sharing"",""เพชรบูรณ์!J490"")"),15)</f>
        <v>15</v>
      </c>
      <c r="K595" s="171">
        <f t="shared" ca="1" si="125"/>
        <v>5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IFERROR(__xludf.DUMMYFUNCTION("IMPORTRANGE(""https://docs.google.com/spreadsheets/d/11923uPwbBZFjjGgGUA6NLw09EwE0CqkOc4q9oUmW1yo/edit?usp=sharing"",""เพชรบูรณ์!I491"")"),0)</f>
        <v>0</v>
      </c>
      <c r="J596" s="250">
        <f ca="1">IFERROR(__xludf.DUMMYFUNCTION("IMPORTRANGE(""https://docs.google.com/spreadsheets/d/11923uPwbBZFjjGgGUA6NLw09EwE0CqkOc4q9oUmW1yo/edit?usp=sharing"",""เพชรบูรณ์!J491"")"),8.24)</f>
        <v>8.24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IFERROR(__xludf.DUMMYFUNCTION("IMPORTRANGE(""https://docs.google.com/spreadsheets/d/11923uPwbBZFjjGgGUA6NLw09EwE0CqkOc4q9oUmW1yo/edit?usp=sharing"",""เพชรบูรณ์!I492"")"),100)</f>
        <v>100</v>
      </c>
      <c r="J597" s="495">
        <f ca="1">IFERROR(__xludf.DUMMYFUNCTION("IMPORTRANGE(""https://docs.google.com/spreadsheets/d/11923uPwbBZFjjGgGUA6NLw09EwE0CqkOc4q9oUmW1yo/edit?usp=sharing"",""เพชรบูรณ์!J492"")"),0)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IFERROR(__xludf.DUMMYFUNCTION("IMPORTRANGE(""https://docs.google.com/spreadsheets/d/11923uPwbBZFjjGgGUA6NLw09EwE0CqkOc4q9oUmW1yo/edit?usp=sharing"",""เพชรบูรณ์!L492"")"),7300)</f>
        <v>7300</v>
      </c>
      <c r="M597" s="420"/>
      <c r="N597" s="420">
        <f ca="1">IFERROR(__xludf.DUMMYFUNCTION("IMPORTRANGE(""https://docs.google.com/spreadsheets/d/11923uPwbBZFjjGgGUA6NLw09EwE0CqkOc4q9oUmW1yo/edit?usp=sharing"",""เพชรบูรณ์!M492"")"),450)</f>
        <v>450</v>
      </c>
      <c r="O597" s="420">
        <f t="shared" ref="O597:O601" ca="1" si="126">+IF(L597&gt;0,N597*100/L597,0)</f>
        <v>6.1643835616438354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IFERROR(__xludf.DUMMYFUNCTION("IMPORTRANGE(""https://docs.google.com/spreadsheets/d/11923uPwbBZFjjGgGUA6NLw09EwE0CqkOc4q9oUmW1yo/edit?usp=sharing"",""เพชรบูรณ์!L493"")"),0)</f>
        <v>0</v>
      </c>
      <c r="M598" s="172"/>
      <c r="N598" s="178">
        <f ca="1">IFERROR(__xludf.DUMMYFUNCTION("IMPORTRANGE(""https://docs.google.com/spreadsheets/d/11923uPwbBZFjjGgGUA6NLw09EwE0CqkOc4q9oUmW1yo/edit?usp=sharing"",""เพชรบูรณ์!M493"")"),0)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IFERROR(__xludf.DUMMYFUNCTION("IMPORTRANGE(""https://docs.google.com/spreadsheets/d/11923uPwbBZFjjGgGUA6NLw09EwE0CqkOc4q9oUmW1yo/edit?usp=sharing"",""เพชรบูรณ์!L494"")"),7300)</f>
        <v>7300</v>
      </c>
      <c r="M599" s="173"/>
      <c r="N599" s="178">
        <f ca="1">IFERROR(__xludf.DUMMYFUNCTION("IMPORTRANGE(""https://docs.google.com/spreadsheets/d/11923uPwbBZFjjGgGUA6NLw09EwE0CqkOc4q9oUmW1yo/edit?usp=sharing"",""เพชรบูรณ์!M494"")"),450)</f>
        <v>450</v>
      </c>
      <c r="O599" s="178">
        <f t="shared" ca="1" si="126"/>
        <v>6.1643835616438354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IFERROR(__xludf.DUMMYFUNCTION("IMPORTRANGE(""https://docs.google.com/spreadsheets/d/11923uPwbBZFjjGgGUA6NLw09EwE0CqkOc4q9oUmW1yo/edit?usp=sharing"",""เพชรบูรณ์!L495"")"),0)</f>
        <v>0</v>
      </c>
      <c r="M600" s="178"/>
      <c r="N600" s="178">
        <f ca="1">IFERROR(__xludf.DUMMYFUNCTION("IMPORTRANGE(""https://docs.google.com/spreadsheets/d/11923uPwbBZFjjGgGUA6NLw09EwE0CqkOc4q9oUmW1yo/edit?usp=sharing"",""เพชรบูรณ์!M495"")"),0)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IFERROR(__xludf.DUMMYFUNCTION("IMPORTRANGE(""https://docs.google.com/spreadsheets/d/11923uPwbBZFjjGgGUA6NLw09EwE0CqkOc4q9oUmW1yo/edit?usp=sharing"",""เพชรบูรณ์!L496"")"),7300)</f>
        <v>7300</v>
      </c>
      <c r="M601" s="178"/>
      <c r="N601" s="178">
        <f ca="1">IFERROR(__xludf.DUMMYFUNCTION("IMPORTRANGE(""https://docs.google.com/spreadsheets/d/11923uPwbBZFjjGgGUA6NLw09EwE0CqkOc4q9oUmW1yo/edit?usp=sharing"",""เพชรบูรณ์!M496"")"),450)</f>
        <v>450</v>
      </c>
      <c r="O601" s="178">
        <f t="shared" ca="1" si="126"/>
        <v>6.1643835616438354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IFERROR(__xludf.DUMMYFUNCTION("IMPORTRANGE(""https://docs.google.com/spreadsheets/d/11923uPwbBZFjjGgGUA6NLw09EwE0CqkOc4q9oUmW1yo/edit?usp=sharing"",""เพชรบูรณ์!M497"")"),0)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IFERROR(__xludf.DUMMYFUNCTION("IMPORTRANGE(""https://docs.google.com/spreadsheets/d/11923uPwbBZFjjGgGUA6NLw09EwE0CqkOc4q9oUmW1yo/edit?usp=sharing"",""เพชรบูรณ์!M498"")"),0)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IFERROR(__xludf.DUMMYFUNCTION("IMPORTRANGE(""https://docs.google.com/spreadsheets/d/11923uPwbBZFjjGgGUA6NLw09EwE0CqkOc4q9oUmW1yo/edit?usp=sharing"",""เพชรบูรณ์!M499"")"),0)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IFERROR(__xludf.DUMMYFUNCTION("IMPORTRANGE(""https://docs.google.com/spreadsheets/d/11923uPwbBZFjjGgGUA6NLw09EwE0CqkOc4q9oUmW1yo/edit?usp=sharing"",""เพชรบูรณ์!M500"")"),450)</f>
        <v>450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IFERROR(__xludf.DUMMYFUNCTION("IMPORTRANGE(""https://docs.google.com/spreadsheets/d/11923uPwbBZFjjGgGUA6NLw09EwE0CqkOc4q9oUmW1yo/edit?usp=sharing"",""เพชรบูรณ์!J502"")"),0)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IFERROR(__xludf.DUMMYFUNCTION("IMPORTRANGE(""https://docs.google.com/spreadsheets/d/11923uPwbBZFjjGgGUA6NLw09EwE0CqkOc4q9oUmW1yo/edit?usp=sharing"",""เพชรบูรณ์!J503"")"),1)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IFERROR(__xludf.DUMMYFUNCTION("IMPORTRANGE(""https://docs.google.com/spreadsheets/d/11923uPwbBZFjjGgGUA6NLw09EwE0CqkOc4q9oUmW1yo/edit?usp=sharing"",""เพชรบูรณ์!J166"")"),0)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IFERROR(__xludf.DUMMYFUNCTION("IMPORTRANGE(""https://docs.google.com/spreadsheets/d/11923uPwbBZFjjGgGUA6NLw09EwE0CqkOc4q9oUmW1yo/edit?usp=sharing"",""เพชรบูรณ์!J166"")"),0)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IFERROR(__xludf.DUMMYFUNCTION("IMPORTRANGE(""https://docs.google.com/spreadsheets/d/11923uPwbBZFjjGgGUA6NLw09EwE0CqkOc4q9oUmW1yo/edit?usp=sharing"",""เพชรบูรณ์!I506"")"),100)</f>
        <v>100</v>
      </c>
      <c r="J611" s="170">
        <f ca="1">IFERROR(__xludf.DUMMYFUNCTION("IMPORTRANGE(""https://docs.google.com/spreadsheets/d/11923uPwbBZFjjGgGUA6NLw09EwE0CqkOc4q9oUmW1yo/edit?usp=sharing"",""เพชรบูรณ์!J506"")"),0)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IFERROR(__xludf.DUMMYFUNCTION("IMPORTRANGE(""https://docs.google.com/spreadsheets/d/11923uPwbBZFjjGgGUA6NLw09EwE0CqkOc4q9oUmW1yo/edit?usp=sharing"",""เพชรบูรณ์!I507"")"),0)</f>
        <v>0</v>
      </c>
      <c r="J612" s="207">
        <f ca="1">IFERROR(__xludf.DUMMYFUNCTION("IMPORTRANGE(""https://docs.google.com/spreadsheets/d/11923uPwbBZFjjGgGUA6NLw09EwE0CqkOc4q9oUmW1yo/edit?usp=sharing"",""เพชรบูรณ์!J507"")"),0)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IFERROR(__xludf.DUMMYFUNCTION("IMPORTRANGE(""https://docs.google.com/spreadsheets/d/11923uPwbBZFjjGgGUA6NLw09EwE0CqkOc4q9oUmW1yo/edit?usp=sharing"",""เพชรบูรณ์!I508"")"),0)</f>
        <v>0</v>
      </c>
      <c r="J613" s="207">
        <f ca="1">IFERROR(__xludf.DUMMYFUNCTION("IMPORTRANGE(""https://docs.google.com/spreadsheets/d/11923uPwbBZFjjGgGUA6NLw09EwE0CqkOc4q9oUmW1yo/edit?usp=sharing"",""เพชรบูรณ์!J508"")"),0)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IFERROR(__xludf.DUMMYFUNCTION("IMPORTRANGE(""https://docs.google.com/spreadsheets/d/11923uPwbBZFjjGgGUA6NLw09EwE0CqkOc4q9oUmW1yo/edit?usp=sharing"",""เพชรบูรณ์!I509"")"),0)</f>
        <v>0</v>
      </c>
      <c r="J614" s="207">
        <f ca="1">IFERROR(__xludf.DUMMYFUNCTION("IMPORTRANGE(""https://docs.google.com/spreadsheets/d/11923uPwbBZFjjGgGUA6NLw09EwE0CqkOc4q9oUmW1yo/edit?usp=sharing"",""เพชรบูรณ์!J509"")"),0)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IFERROR(__xludf.DUMMYFUNCTION("IMPORTRANGE(""https://docs.google.com/spreadsheets/d/11923uPwbBZFjjGgGUA6NLw09EwE0CqkOc4q9oUmW1yo/edit?usp=sharing"",""เพชรบูรณ์!I510"")"),0)</f>
        <v>0</v>
      </c>
      <c r="J615" s="207">
        <f ca="1">IFERROR(__xludf.DUMMYFUNCTION("IMPORTRANGE(""https://docs.google.com/spreadsheets/d/11923uPwbBZFjjGgGUA6NLw09EwE0CqkOc4q9oUmW1yo/edit?usp=sharing"",""เพชรบูรณ์!J510"")"),0)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IFERROR(__xludf.DUMMYFUNCTION("IMPORTRANGE(""https://docs.google.com/spreadsheets/d/11923uPwbBZFjjGgGUA6NLw09EwE0CqkOc4q9oUmW1yo/edit?usp=sharing"",""เพชรบูรณ์!I511"")"),0)</f>
        <v>0</v>
      </c>
      <c r="J616" s="207">
        <f ca="1">IFERROR(__xludf.DUMMYFUNCTION("IMPORTRANGE(""https://docs.google.com/spreadsheets/d/11923uPwbBZFjjGgGUA6NLw09EwE0CqkOc4q9oUmW1yo/edit?usp=sharing"",""เพชรบูรณ์!J511"")"),0)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IFERROR(__xludf.DUMMYFUNCTION("IMPORTRANGE(""https://docs.google.com/spreadsheets/d/11923uPwbBZFjjGgGUA6NLw09EwE0CqkOc4q9oUmW1yo/edit?usp=sharing"",""เพชรบูรณ์!I512"")"),0)</f>
        <v>0</v>
      </c>
      <c r="J617" s="197">
        <f ca="1">IFERROR(__xludf.DUMMYFUNCTION("IMPORTRANGE(""https://docs.google.com/spreadsheets/d/11923uPwbBZFjjGgGUA6NLw09EwE0CqkOc4q9oUmW1yo/edit?usp=sharing"",""เพชรบูรณ์!J512"")"),0)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IFERROR(__xludf.DUMMYFUNCTION("IMPORTRANGE(""https://docs.google.com/spreadsheets/d/11923uPwbBZFjjGgGUA6NLw09EwE0CqkOc4q9oUmW1yo/edit?usp=sharing"",""เพชรบูรณ์!I513"")"),0)</f>
        <v>0</v>
      </c>
      <c r="J618" s="198">
        <f ca="1">IFERROR(__xludf.DUMMYFUNCTION("IMPORTRANGE(""https://docs.google.com/spreadsheets/d/11923uPwbBZFjjGgGUA6NLw09EwE0CqkOc4q9oUmW1yo/edit?usp=sharing"",""เพชรบูรณ์!J513"")"),0)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IFERROR(__xludf.DUMMYFUNCTION("IMPORTRANGE(""https://docs.google.com/spreadsheets/d/11923uPwbBZFjjGgGUA6NLw09EwE0CqkOc4q9oUmW1yo/edit?usp=sharing"",""เพชรบูรณ์!I514"")"),0)</f>
        <v>0</v>
      </c>
      <c r="J619" s="198">
        <f ca="1">IFERROR(__xludf.DUMMYFUNCTION("IMPORTRANGE(""https://docs.google.com/spreadsheets/d/11923uPwbBZFjjGgGUA6NLw09EwE0CqkOc4q9oUmW1yo/edit?usp=sharing"",""เพชรบูรณ์!J514"")"),0)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IFERROR(__xludf.DUMMYFUNCTION("IMPORTRANGE(""https://docs.google.com/spreadsheets/d/11923uPwbBZFjjGgGUA6NLw09EwE0CqkOc4q9oUmW1yo/edit?usp=sharing"",""เพชรบูรณ์!I515"")"),0)</f>
        <v>0</v>
      </c>
      <c r="J620" s="212">
        <f ca="1">IFERROR(__xludf.DUMMYFUNCTION("IMPORTRANGE(""https://docs.google.com/spreadsheets/d/11923uPwbBZFjjGgGUA6NLw09EwE0CqkOc4q9oUmW1yo/edit?usp=sharing"",""เพชรบูรณ์!J515"")"),0)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IFERROR(__xludf.DUMMYFUNCTION("IMPORTRANGE(""https://docs.google.com/spreadsheets/d/11923uPwbBZFjjGgGUA6NLw09EwE0CqkOc4q9oUmW1yo/edit?usp=sharing"",""เพชรบูรณ์!I516"")"),0)</f>
        <v>0</v>
      </c>
      <c r="J621" s="212">
        <f ca="1">IFERROR(__xludf.DUMMYFUNCTION("IMPORTRANGE(""https://docs.google.com/spreadsheets/d/11923uPwbBZFjjGgGUA6NLw09EwE0CqkOc4q9oUmW1yo/edit?usp=sharing"",""เพชรบูรณ์!J516"")"),0)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IFERROR(__xludf.DUMMYFUNCTION("IMPORTRANGE(""https://docs.google.com/spreadsheets/d/11923uPwbBZFjjGgGUA6NLw09EwE0CqkOc4q9oUmW1yo/edit?usp=sharing"",""เพชรบูรณ์!I517"")"),0)</f>
        <v>0</v>
      </c>
      <c r="J622" s="198">
        <f ca="1">IFERROR(__xludf.DUMMYFUNCTION("IMPORTRANGE(""https://docs.google.com/spreadsheets/d/11923uPwbBZFjjGgGUA6NLw09EwE0CqkOc4q9oUmW1yo/edit?usp=sharing"",""เพชรบูรณ์!J517"")"),0)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IFERROR(__xludf.DUMMYFUNCTION("IMPORTRANGE(""https://docs.google.com/spreadsheets/d/11923uPwbBZFjjGgGUA6NLw09EwE0CqkOc4q9oUmW1yo/edit?usp=sharing"",""เพชรบูรณ์!I518"")"),0)</f>
        <v>0</v>
      </c>
      <c r="J623" s="198">
        <f ca="1">IFERROR(__xludf.DUMMYFUNCTION("IMPORTRANGE(""https://docs.google.com/spreadsheets/d/11923uPwbBZFjjGgGUA6NLw09EwE0CqkOc4q9oUmW1yo/edit?usp=sharing"",""เพชรบูรณ์!J518"")"),0)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IFERROR(__xludf.DUMMYFUNCTION("IMPORTRANGE(""https://docs.google.com/spreadsheets/d/11923uPwbBZFjjGgGUA6NLw09EwE0CqkOc4q9oUmW1yo/edit?usp=sharing"",""เพชรบูรณ์!I519"")"),0)</f>
        <v>0</v>
      </c>
      <c r="J624" s="197">
        <f ca="1">IFERROR(__xludf.DUMMYFUNCTION("IMPORTRANGE(""https://docs.google.com/spreadsheets/d/11923uPwbBZFjjGgGUA6NLw09EwE0CqkOc4q9oUmW1yo/edit?usp=sharing"",""เพชรบูรณ์!J519"")"),0)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IFERROR(__xludf.DUMMYFUNCTION("IMPORTRANGE(""https://docs.google.com/spreadsheets/d/11923uPwbBZFjjGgGUA6NLw09EwE0CqkOc4q9oUmW1yo/edit?usp=sharing"",""เพชรบูรณ์!I520"")"),0)</f>
        <v>0</v>
      </c>
      <c r="J625" s="198">
        <f ca="1">IFERROR(__xludf.DUMMYFUNCTION("IMPORTRANGE(""https://docs.google.com/spreadsheets/d/11923uPwbBZFjjGgGUA6NLw09EwE0CqkOc4q9oUmW1yo/edit?usp=sharing"",""เพชรบูรณ์!J520"")"),0)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IFERROR(__xludf.DUMMYFUNCTION("IMPORTRANGE(""https://docs.google.com/spreadsheets/d/11923uPwbBZFjjGgGUA6NLw09EwE0CqkOc4q9oUmW1yo/edit?usp=sharing"",""เพชรบูรณ์!I521"")"),0)</f>
        <v>0</v>
      </c>
      <c r="J626" s="198">
        <f ca="1">IFERROR(__xludf.DUMMYFUNCTION("IMPORTRANGE(""https://docs.google.com/spreadsheets/d/11923uPwbBZFjjGgGUA6NLw09EwE0CqkOc4q9oUmW1yo/edit?usp=sharing"",""เพชรบูรณ์!J521"")"),0)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IFERROR(__xludf.DUMMYFUNCTION("IMPORTRANGE(""https://docs.google.com/spreadsheets/d/11923uPwbBZFjjGgGUA6NLw09EwE0CqkOc4q9oUmW1yo/edit?usp=sharing"",""เพชรบูรณ์!I523"")"),20013464.24)</f>
        <v>20013464.239999998</v>
      </c>
      <c r="J628" s="349">
        <f ca="1">IFERROR(__xludf.DUMMYFUNCTION("IMPORTRANGE(""https://docs.google.com/spreadsheets/d/11923uPwbBZFjjGgGUA6NLw09EwE0CqkOc4q9oUmW1yo/edit?usp=sharing"",""เพชรบูรณ์!J523"")"),1477731.96)</f>
        <v>1477731.96</v>
      </c>
      <c r="K628" s="350">
        <f t="shared" ref="K628:K635" ca="1" si="129">IF(I628&gt;0,J628*100/I628,0)</f>
        <v>7.3836890119528862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IFERROR(__xludf.DUMMYFUNCTION("IMPORTRANGE(""https://docs.google.com/spreadsheets/d/11923uPwbBZFjjGgGUA6NLw09EwE0CqkOc4q9oUmW1yo/edit?usp=sharing"",""เพชรบูรณ์!I524"")"),654)</f>
        <v>654</v>
      </c>
      <c r="J629" s="349">
        <f ca="1">IFERROR(__xludf.DUMMYFUNCTION("IMPORTRANGE(""https://docs.google.com/spreadsheets/d/11923uPwbBZFjjGgGUA6NLw09EwE0CqkOc4q9oUmW1yo/edit?usp=sharing"",""เพชรบูรณ์!J524"")"),48)</f>
        <v>48</v>
      </c>
      <c r="K629" s="350">
        <f t="shared" ca="1" si="129"/>
        <v>7.3394495412844041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49">
        <f ca="1">IFERROR(__xludf.DUMMYFUNCTION("IMPORTRANGE(""https://docs.google.com/spreadsheets/d/11923uPwbBZFjjGgGUA6NLw09EwE0CqkOc4q9oUmW1yo/edit?usp=sharing"",""เพชรบูรณ์!J525"")"),371300.21)</f>
        <v>371300.21</v>
      </c>
      <c r="K630" s="350">
        <f t="shared" ca="1" si="129"/>
        <v>1.3248431584796521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IFERROR(__xludf.DUMMYFUNCTION("IMPORTRANGE(""https://docs.google.com/spreadsheets/d/11923uPwbBZFjjGgGUA6NLw09EwE0CqkOc4q9oUmW1yo/edit?usp=sharing"",""เพชรบูรณ์!I526"")"),1029)</f>
        <v>1029</v>
      </c>
      <c r="J631" s="349">
        <f ca="1">IFERROR(__xludf.DUMMYFUNCTION("IMPORTRANGE(""https://docs.google.com/spreadsheets/d/11923uPwbBZFjjGgGUA6NLw09EwE0CqkOc4q9oUmW1yo/edit?usp=sharing"",""เพชรบูรณ์!J526"")"),77)</f>
        <v>77</v>
      </c>
      <c r="K631" s="350">
        <f t="shared" ca="1" si="129"/>
        <v>7.4829931972789119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49">
        <f ca="1">IFERROR(__xludf.DUMMYFUNCTION("IMPORTRANGE(""https://docs.google.com/spreadsheets/d/11923uPwbBZFjjGgGUA6NLw09EwE0CqkOc4q9oUmW1yo/edit?usp=sharing"",""เพชรบูรณ์!J527"")"),157261)</f>
        <v>157261</v>
      </c>
      <c r="K632" s="350">
        <f t="shared" ca="1" si="129"/>
        <v>5.9516306190987134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IFERROR(__xludf.DUMMYFUNCTION("IMPORTRANGE(""https://docs.google.com/spreadsheets/d/11923uPwbBZFjjGgGUA6NLw09EwE0CqkOc4q9oUmW1yo/edit?usp=sharing"",""เพชรบูรณ์!I528"")"),133)</f>
        <v>133</v>
      </c>
      <c r="J633" s="349">
        <f ca="1">IFERROR(__xludf.DUMMYFUNCTION("IMPORTRANGE(""https://docs.google.com/spreadsheets/d/11923uPwbBZFjjGgGUA6NLw09EwE0CqkOc4q9oUmW1yo/edit?usp=sharing"",""เพชรบูรณ์!J528"")"),32)</f>
        <v>32</v>
      </c>
      <c r="K633" s="350">
        <f t="shared" ca="1" si="129"/>
        <v>24.060150375939848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49">
        <f ca="1">IFERROR(__xludf.DUMMYFUNCTION("IMPORTRANGE(""https://docs.google.com/spreadsheets/d/11923uPwbBZFjjGgGUA6NLw09EwE0CqkOc4q9oUmW1yo/edit?usp=sharing"",""เพชรบูรณ์!J529"")"),0)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IFERROR(__xludf.DUMMYFUNCTION("IMPORTRANGE(""https://docs.google.com/spreadsheets/d/11923uPwbBZFjjGgGUA6NLw09EwE0CqkOc4q9oUmW1yo/edit?usp=sharing"",""เพชรบูรณ์!I530"")"),300)</f>
        <v>300</v>
      </c>
      <c r="J635" s="519">
        <f ca="1">IFERROR(__xludf.DUMMYFUNCTION("IMPORTRANGE(""https://docs.google.com/spreadsheets/d/11923uPwbBZFjjGgGUA6NLw09EwE0CqkOc4q9oUmW1yo/edit?usp=sharing"",""เพชรบูรณ์!J530"")"),0)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9" sqref="J9"/>
      <selection pane="bottomLeft" activeCell="J9" sqref="J9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8.83203125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258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15192765</v>
      </c>
      <c r="M8" s="25">
        <f t="shared" ca="1" si="0"/>
        <v>1487105</v>
      </c>
      <c r="N8" s="25">
        <f t="shared" ca="1" si="0"/>
        <v>12044316</v>
      </c>
      <c r="O8" s="24">
        <f t="shared" ref="O8:O16" ca="1" si="1">IF(L8&gt;0,N8*100/L8,0)</f>
        <v>79.276655697629764</v>
      </c>
      <c r="P8" s="24">
        <f t="shared" ref="P8:P16" ca="1" si="2">IF(M8&gt;0,N8*100/M8,0)</f>
        <v>809.91698635940304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15192765</v>
      </c>
      <c r="M10" s="32">
        <f t="shared" ca="1" si="4"/>
        <v>1487105</v>
      </c>
      <c r="N10" s="32">
        <f t="shared" ca="1" si="4"/>
        <v>12044316</v>
      </c>
      <c r="O10" s="31">
        <f t="shared" ca="1" si="1"/>
        <v>79.276655697629764</v>
      </c>
      <c r="P10" s="31">
        <f t="shared" ca="1" si="2"/>
        <v>809.91698635940304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4659465</v>
      </c>
      <c r="M12" s="40">
        <f t="shared" ca="1" si="6"/>
        <v>1487105</v>
      </c>
      <c r="N12" s="40">
        <f t="shared" ca="1" si="6"/>
        <v>1563516</v>
      </c>
      <c r="O12" s="40">
        <f t="shared" ca="1" si="1"/>
        <v>33.555697918108621</v>
      </c>
      <c r="P12" s="40">
        <f t="shared" ca="1" si="2"/>
        <v>105.13823838935382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1871100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2788365</v>
      </c>
      <c r="M14" s="40">
        <f t="shared" si="8"/>
        <v>0</v>
      </c>
      <c r="N14" s="40">
        <f t="shared" ca="1" si="8"/>
        <v>381805</v>
      </c>
      <c r="O14" s="43">
        <f t="shared" ca="1" si="1"/>
        <v>13.692791295257257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10533300</v>
      </c>
      <c r="M16" s="40">
        <f t="shared" si="10"/>
        <v>0</v>
      </c>
      <c r="N16" s="40">
        <f t="shared" ca="1" si="10"/>
        <v>10480800</v>
      </c>
      <c r="O16" s="52">
        <f t="shared" ca="1" si="1"/>
        <v>99.501580701204745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13333805</v>
      </c>
      <c r="M18" s="25">
        <f t="shared" ca="1" si="11"/>
        <v>1487105</v>
      </c>
      <c r="N18" s="25">
        <f t="shared" ca="1" si="11"/>
        <v>11662511</v>
      </c>
      <c r="O18" s="24">
        <f t="shared" ref="O18:O20" ca="1" si="12">IF(L18&gt;0,N18*100/L18,0)</f>
        <v>87.465738399504119</v>
      </c>
      <c r="P18" s="24">
        <f t="shared" ref="P18:P26" ca="1" si="13">IF(M18&gt;0,N18*100/M18,0)</f>
        <v>784.24260559947015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13333805</v>
      </c>
      <c r="M20" s="32">
        <f t="shared" ca="1" si="15"/>
        <v>1487105</v>
      </c>
      <c r="N20" s="32">
        <f t="shared" ca="1" si="15"/>
        <v>11662511</v>
      </c>
      <c r="O20" s="31">
        <f t="shared" ca="1" si="12"/>
        <v>87.465738399504119</v>
      </c>
      <c r="P20" s="31">
        <f t="shared" ca="1" si="13"/>
        <v>784.24260559947015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2800505</v>
      </c>
      <c r="M22" s="44">
        <f t="shared" ca="1" si="18"/>
        <v>1487105</v>
      </c>
      <c r="N22" s="43">
        <f t="shared" ca="1" si="18"/>
        <v>1181711</v>
      </c>
      <c r="O22" s="43">
        <f t="shared" ca="1" si="17"/>
        <v>42.196353871890963</v>
      </c>
      <c r="P22" s="43">
        <f t="shared" ca="1" si="13"/>
        <v>79.463857629420929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1871100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929405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10533300</v>
      </c>
      <c r="M26" s="52">
        <f t="shared" si="22"/>
        <v>0</v>
      </c>
      <c r="N26" s="52">
        <f t="shared" ca="1" si="22"/>
        <v>10480800</v>
      </c>
      <c r="O26" s="52">
        <f t="shared" ca="1" si="17"/>
        <v>99.501580701204745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1858960</v>
      </c>
      <c r="M28" s="25">
        <f t="shared" si="23"/>
        <v>0</v>
      </c>
      <c r="N28" s="25">
        <f t="shared" ca="1" si="23"/>
        <v>381805</v>
      </c>
      <c r="O28" s="24">
        <f t="shared" ref="O28:O30" ca="1" si="24">IF(L28&gt;0,N28*100/L28,0)</f>
        <v>20.5386345053148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1858960</v>
      </c>
      <c r="M30" s="32">
        <f t="shared" si="27"/>
        <v>0</v>
      </c>
      <c r="N30" s="32">
        <f t="shared" ca="1" si="27"/>
        <v>381805</v>
      </c>
      <c r="O30" s="31">
        <f t="shared" ca="1" si="24"/>
        <v>20.5386345053148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1858960</v>
      </c>
      <c r="M32" s="43">
        <f t="shared" si="30"/>
        <v>0</v>
      </c>
      <c r="N32" s="43">
        <f t="shared" ca="1" si="30"/>
        <v>381805</v>
      </c>
      <c r="O32" s="43">
        <f t="shared" ca="1" si="29"/>
        <v>20.5386345053148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1858960</v>
      </c>
      <c r="M34" s="43">
        <f t="shared" si="32"/>
        <v>0</v>
      </c>
      <c r="N34" s="43">
        <f t="shared" ca="1" si="32"/>
        <v>381805</v>
      </c>
      <c r="O34" s="43">
        <f t="shared" ca="1" si="29"/>
        <v>20.5386345053148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13333805</v>
      </c>
      <c r="M37" s="57">
        <f t="shared" ca="1" si="33"/>
        <v>1487105</v>
      </c>
      <c r="N37" s="57">
        <f t="shared" ca="1" si="33"/>
        <v>11662511</v>
      </c>
      <c r="O37" s="58">
        <f t="shared" ca="1" si="29"/>
        <v>87.465738399504119</v>
      </c>
      <c r="P37" s="58">
        <f t="shared" ca="1" si="25"/>
        <v>784.24260559947015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7769200</v>
      </c>
      <c r="M41" s="81">
        <f t="shared" ca="1" si="34"/>
        <v>305400</v>
      </c>
      <c r="N41" s="81">
        <f t="shared" ca="1" si="34"/>
        <v>7407832</v>
      </c>
      <c r="O41" s="80">
        <f t="shared" ref="O41:O43" ca="1" si="35">IF(L41&gt;0,N41*100/L41,0)</f>
        <v>95.348710291921947</v>
      </c>
      <c r="P41" s="80">
        <f t="shared" ref="P41:P43" ca="1" si="36">IF(M41&gt;0,N41*100/M41,0)</f>
        <v>2425.6162409954159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7769200</v>
      </c>
      <c r="M43" s="81">
        <f t="shared" ca="1" si="38"/>
        <v>305400</v>
      </c>
      <c r="N43" s="81">
        <f t="shared" ca="1" si="38"/>
        <v>7407832</v>
      </c>
      <c r="O43" s="80">
        <f t="shared" ca="1" si="35"/>
        <v>95.348710291921947</v>
      </c>
      <c r="P43" s="80">
        <f t="shared" ca="1" si="36"/>
        <v>2425.6162409954159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610700</v>
      </c>
      <c r="M45" s="93">
        <f ca="1">IFERROR(__xludf.DUMMYFUNCTION("IMPORTRANGE(""https://docs.google.com/spreadsheets/d/1Yj_ptqi66GCucihVvJfMjLAmec39IyEx_6qawtMGysU/edit?usp=sharing"",""สบก!Q30"")"),305400)</f>
        <v>305400</v>
      </c>
      <c r="N45" s="93">
        <f ca="1">IFERROR(__xludf.DUMMYFUNCTION("IMPORTRANGE(""https://docs.google.com/spreadsheets/d/1Yj_ptqi66GCucihVvJfMjLAmec39IyEx_6qawtMGysU/edit?usp=sharing"",""สบก!R30"")"),252832)</f>
        <v>252832</v>
      </c>
      <c r="O45" s="94">
        <f ca="1">IF(L45&gt;0,N45*100/L45,0)</f>
        <v>41.400360242344853</v>
      </c>
      <c r="P45" s="94">
        <f ca="1">IF(M45&gt;0,N45*100/M45,0)</f>
        <v>82.787164374590702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IFERROR(__xludf.DUMMYFUNCTION("IMPORTRANGE(""https://docs.google.com/spreadsheets/d/1Yj_ptqi66GCucihVvJfMjLAmec39IyEx_6qawtMGysU/edit?usp=sharing"",""สบก!M30"")"),610700)</f>
        <v>610700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IFERROR(__xludf.DUMMYFUNCTION("IMPORTRANGE(""https://docs.google.com/spreadsheets/d/1Yj_ptqi66GCucihVvJfMjLAmec39IyEx_6qawtMGysU/edit?usp=sharing"",""สบก!N30"")"),0)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IFERROR(__xludf.DUMMYFUNCTION("IMPORTRANGE(""https://docs.google.com/spreadsheets/d/1Yj_ptqi66GCucihVvJfMjLAmec39IyEx_6qawtMGysU/edit?usp=sharing"",""สบก!O30"")"),7158500)</f>
        <v>7158500</v>
      </c>
      <c r="M49" s="103"/>
      <c r="N49" s="93">
        <f ca="1">IFERROR(__xludf.DUMMYFUNCTION("IMPORTRANGE(""https://docs.google.com/spreadsheets/d/1Yj_ptqi66GCucihVvJfMjLAmec39IyEx_6qawtMGysU/edit?usp=sharing"",""สบก!S30"")"),7155000)</f>
        <v>7155000</v>
      </c>
      <c r="O49" s="103">
        <f ca="1">IF(L49&gt;0,N49*100/L49,0)</f>
        <v>99.951107075504652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637200</v>
      </c>
      <c r="M53" s="127">
        <f t="shared" ca="1" si="39"/>
        <v>318600</v>
      </c>
      <c r="N53" s="127">
        <f t="shared" ca="1" si="39"/>
        <v>241200</v>
      </c>
      <c r="O53" s="126">
        <f t="shared" ref="O53:O55" ca="1" si="40">IF(L53&gt;0,N53*100/L53,0)</f>
        <v>37.853107344632768</v>
      </c>
      <c r="P53" s="126">
        <f t="shared" ref="P53:P55" ca="1" si="41">IF(M53&gt;0,N53*100/M53,0)</f>
        <v>75.706214689265536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637200</v>
      </c>
      <c r="M55" s="127">
        <f t="shared" ca="1" si="43"/>
        <v>318600</v>
      </c>
      <c r="N55" s="127">
        <f t="shared" ca="1" si="43"/>
        <v>241200</v>
      </c>
      <c r="O55" s="126">
        <f t="shared" ca="1" si="40"/>
        <v>37.853107344632768</v>
      </c>
      <c r="P55" s="126">
        <f t="shared" ca="1" si="41"/>
        <v>75.706214689265536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637200</v>
      </c>
      <c r="M57" s="93">
        <f ca="1">IFERROR(__xludf.DUMMYFUNCTION("IMPORTRANGE(""https://docs.google.com/spreadsheets/d/1Yj_ptqi66GCucihVvJfMjLAmec39IyEx_6qawtMGysU/edit?usp=sharing"",""สบก!Z30"")"),318600)</f>
        <v>318600</v>
      </c>
      <c r="N57" s="93">
        <f ca="1">IFERROR(__xludf.DUMMYFUNCTION("IMPORTRANGE(""https://docs.google.com/spreadsheets/d/1Yj_ptqi66GCucihVvJfMjLAmec39IyEx_6qawtMGysU/edit?usp=sharing"",""สบก!AA30"")"),241200)</f>
        <v>241200</v>
      </c>
      <c r="O57" s="94">
        <f ca="1">IF(L57&gt;0,N57*100/L57,0)</f>
        <v>37.853107344632768</v>
      </c>
      <c r="P57" s="94">
        <f ca="1">IF(M57&gt;0,N57*100/M57,0)</f>
        <v>75.706214689265536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IFERROR(__xludf.DUMMYFUNCTION("IMPORTRANGE(""https://docs.google.com/spreadsheets/d/1Yj_ptqi66GCucihVvJfMjLAmec39IyEx_6qawtMGysU/edit?usp=sharing"",""สบก!V30"")"),637200)</f>
        <v>637200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IFERROR(__xludf.DUMMYFUNCTION("IMPORTRANGE(""https://docs.google.com/spreadsheets/d/1Yj_ptqi66GCucihVvJfMjLAmec39IyEx_6qawtMGysU/edit?usp=sharing"",""สบก!W30"")"),0)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IFERROR(__xludf.DUMMYFUNCTION("IMPORTRANGE(""https://docs.google.com/spreadsheets/d/1Yj_ptqi66GCucihVvJfMjLAmec39IyEx_6qawtMGysU/edit?usp=sharing"",""สบก!X30"")"),0)</f>
        <v>0</v>
      </c>
      <c r="M61" s="103"/>
      <c r="N61" s="93">
        <f ca="1">IFERROR(__xludf.DUMMYFUNCTION("IMPORTRANGE(""https://docs.google.com/spreadsheets/d/1Yj_ptqi66GCucihVvJfMjLAmec39IyEx_6qawtMGysU/edit?usp=sharing"",""สบก!AB30"")"),0)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IFERROR(__xludf.DUMMYFUNCTION("IMPORTRANGE(""https://docs.google.com/spreadsheets/d/11923uPwbBZFjjGgGUA6NLw09EwE0CqkOc4q9oUmW1yo/edit?usp=sharing"",""แพร่!I9"")"),0)</f>
        <v>0</v>
      </c>
      <c r="J64" s="148">
        <f ca="1">IFERROR(__xludf.DUMMYFUNCTION("IMPORTRANGE(""https://docs.google.com/spreadsheets/d/11923uPwbBZFjjGgGUA6NLw09EwE0CqkOc4q9oUmW1yo/edit?usp=sharing"",""แพร่!J9"")"),0)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IFERROR(__xludf.DUMMYFUNCTION("IMPORTRANGE(""https://docs.google.com/spreadsheets/d/11923uPwbBZFjjGgGUA6NLw09EwE0CqkOc4q9oUmW1yo/edit?usp=sharing"",""แพร่!I10"")"),0)</f>
        <v>0</v>
      </c>
      <c r="J65" s="148">
        <f ca="1">IFERROR(__xludf.DUMMYFUNCTION("IMPORTRANGE(""https://docs.google.com/spreadsheets/d/11923uPwbBZFjjGgGUA6NLw09EwE0CqkOc4q9oUmW1yo/edit?usp=sharing"",""แพร่!J10"")"),0)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3180000</v>
      </c>
      <c r="M66" s="158">
        <f t="shared" ca="1" si="45"/>
        <v>0</v>
      </c>
      <c r="N66" s="158">
        <f t="shared" ca="1" si="45"/>
        <v>3131000</v>
      </c>
      <c r="O66" s="157">
        <f t="shared" ref="O66:O68" ca="1" si="46">IF(L66&gt;0,N66*100/L66,0)</f>
        <v>98.459119496855351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3180000</v>
      </c>
      <c r="M68" s="163">
        <f t="shared" ca="1" si="49"/>
        <v>0</v>
      </c>
      <c r="N68" s="163">
        <f t="shared" ca="1" si="49"/>
        <v>3131000</v>
      </c>
      <c r="O68" s="162">
        <f t="shared" ca="1" si="46"/>
        <v>98.459119496855351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IFERROR(__xludf.DUMMYFUNCTION("IMPORTRANGE(""https://docs.google.com/spreadsheets/d/1Yj_ptqi66GCucihVvJfMjLAmec39IyEx_6qawtMGysU/edit?usp=sharing"",""สบก!AI30"")"),0)</f>
        <v>0</v>
      </c>
      <c r="N70" s="177">
        <f ca="1">IFERROR(__xludf.DUMMYFUNCTION("IMPORTRANGE(""https://docs.google.com/spreadsheets/d/1Yj_ptqi66GCucihVvJfMjLAmec39IyEx_6qawtMGysU/edit?usp=sharing"",""สบก!AJ30"")"),0)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IFERROR(__xludf.DUMMYFUNCTION("IMPORTRANGE(""https://docs.google.com/spreadsheets/d/1Yj_ptqi66GCucihVvJfMjLAmec39IyEx_6qawtMGysU/edit?usp=sharing"",""สบก!AE30"")"),0)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IFERROR(__xludf.DUMMYFUNCTION("IMPORTRANGE(""https://docs.google.com/spreadsheets/d/1Yj_ptqi66GCucihVvJfMjLAmec39IyEx_6qawtMGysU/edit?usp=sharing"",""สบก!AF30"")"),0)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IFERROR(__xludf.DUMMYFUNCTION("IMPORTRANGE(""https://docs.google.com/spreadsheets/d/1Yj_ptqi66GCucihVvJfMjLAmec39IyEx_6qawtMGysU/edit?usp=sharing"",""สบก!AG30"")"),3180000)</f>
        <v>3180000</v>
      </c>
      <c r="M74" s="103"/>
      <c r="N74" s="93">
        <f ca="1">IFERROR(__xludf.DUMMYFUNCTION("IMPORTRANGE(""https://docs.google.com/spreadsheets/d/1Yj_ptqi66GCucihVvJfMjLAmec39IyEx_6qawtMGysU/edit?usp=sharing"",""สบก!AK30"")"),3131000)</f>
        <v>3131000</v>
      </c>
      <c r="O74" s="103">
        <f ca="1">IF(L74&gt;0,N74*100/L74,0)</f>
        <v>98.459119496855351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IFERROR(__xludf.DUMMYFUNCTION("IMPORTRANGE(""https://docs.google.com/spreadsheets/d/11923uPwbBZFjjGgGUA6NLw09EwE0CqkOc4q9oUmW1yo/edit?usp=sharing"",""แพร่!J16"")"),0)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IFERROR(__xludf.DUMMYFUNCTION("IMPORTRANGE(""https://docs.google.com/spreadsheets/d/11923uPwbBZFjjGgGUA6NLw09EwE0CqkOc4q9oUmW1yo/edit?usp=sharing"",""แพร่!J17"")"),0)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IFERROR(__xludf.DUMMYFUNCTION("IMPORTRANGE(""https://docs.google.com/spreadsheets/d/11923uPwbBZFjjGgGUA6NLw09EwE0CqkOc4q9oUmW1yo/edit?usp=sharing"",""แพร่!J18"")"),0)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IFERROR(__xludf.DUMMYFUNCTION("IMPORTRANGE(""https://docs.google.com/spreadsheets/d/11923uPwbBZFjjGgGUA6NLw09EwE0CqkOc4q9oUmW1yo/edit?usp=sharing"",""แพร่!J19"")"),0)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IFERROR(__xludf.DUMMYFUNCTION("IMPORTRANGE(""https://docs.google.com/spreadsheets/d/11923uPwbBZFjjGgGUA6NLw09EwE0CqkOc4q9oUmW1yo/edit?usp=sharing"",""แพร่!I20"")"),0)</f>
        <v>0</v>
      </c>
      <c r="J80" s="210">
        <f ca="1">IFERROR(__xludf.DUMMYFUNCTION("IMPORTRANGE(""https://docs.google.com/spreadsheets/d/11923uPwbBZFjjGgGUA6NLw09EwE0CqkOc4q9oUmW1yo/edit?usp=sharing"",""แพร่!J20"")"),0)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IFERROR(__xludf.DUMMYFUNCTION("IMPORTRANGE(""https://docs.google.com/spreadsheets/d/11923uPwbBZFjjGgGUA6NLw09EwE0CqkOc4q9oUmW1yo/edit?usp=sharing"",""แพร่!I21"")"),0)</f>
        <v>0</v>
      </c>
      <c r="J81" s="210">
        <f ca="1">IFERROR(__xludf.DUMMYFUNCTION("IMPORTRANGE(""https://docs.google.com/spreadsheets/d/11923uPwbBZFjjGgGUA6NLw09EwE0CqkOc4q9oUmW1yo/edit?usp=sharing"",""แพร่!J21"")"),0)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IFERROR(__xludf.DUMMYFUNCTION("IMPORTRANGE(""https://docs.google.com/spreadsheets/d/11923uPwbBZFjjGgGUA6NLw09EwE0CqkOc4q9oUmW1yo/edit?usp=sharing"",""แพร่!I22"")"),0)</f>
        <v>0</v>
      </c>
      <c r="J82" s="213">
        <f ca="1">IFERROR(__xludf.DUMMYFUNCTION("IMPORTRANGE(""https://docs.google.com/spreadsheets/d/11923uPwbBZFjjGgGUA6NLw09EwE0CqkOc4q9oUmW1yo/edit?usp=sharing"",""แพร่!J22"")"),0)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IFERROR(__xludf.DUMMYFUNCTION("IMPORTRANGE(""https://docs.google.com/spreadsheets/d/11923uPwbBZFjjGgGUA6NLw09EwE0CqkOc4q9oUmW1yo/edit?usp=sharing"",""แพร่!I23"")"),0)</f>
        <v>0</v>
      </c>
      <c r="J83" s="213">
        <f ca="1">IFERROR(__xludf.DUMMYFUNCTION("IMPORTRANGE(""https://docs.google.com/spreadsheets/d/11923uPwbBZFjjGgGUA6NLw09EwE0CqkOc4q9oUmW1yo/edit?usp=sharing"",""แพร่!J23"")"),0)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IFERROR(__xludf.DUMMYFUNCTION("IMPORTRANGE(""https://docs.google.com/spreadsheets/d/11923uPwbBZFjjGgGUA6NLw09EwE0CqkOc4q9oUmW1yo/edit?usp=sharing"",""แพร่!I24"")"),0)</f>
        <v>0</v>
      </c>
      <c r="J84" s="198">
        <f ca="1">IFERROR(__xludf.DUMMYFUNCTION("IMPORTRANGE(""https://docs.google.com/spreadsheets/d/11923uPwbBZFjjGgGUA6NLw09EwE0CqkOc4q9oUmW1yo/edit?usp=sharing"",""แพร่!J24"")"),0)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IFERROR(__xludf.DUMMYFUNCTION("IMPORTRANGE(""https://docs.google.com/spreadsheets/d/11923uPwbBZFjjGgGUA6NLw09EwE0CqkOc4q9oUmW1yo/edit?usp=sharing"",""แพร่!I25"")"),0)</f>
        <v>0</v>
      </c>
      <c r="J85" s="198">
        <f ca="1">IFERROR(__xludf.DUMMYFUNCTION("IMPORTRANGE(""https://docs.google.com/spreadsheets/d/11923uPwbBZFjjGgGUA6NLw09EwE0CqkOc4q9oUmW1yo/edit?usp=sharing"",""แพร่!J25"")"),0)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IFERROR(__xludf.DUMMYFUNCTION("IMPORTRANGE(""https://docs.google.com/spreadsheets/d/11923uPwbBZFjjGgGUA6NLw09EwE0CqkOc4q9oUmW1yo/edit?usp=sharing"",""แพร่!I26"")"),0)</f>
        <v>0</v>
      </c>
      <c r="J86" s="213">
        <f ca="1">IFERROR(__xludf.DUMMYFUNCTION("IMPORTRANGE(""https://docs.google.com/spreadsheets/d/11923uPwbBZFjjGgGUA6NLw09EwE0CqkOc4q9oUmW1yo/edit?usp=sharing"",""แพร่!J26"")"),0)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IFERROR(__xludf.DUMMYFUNCTION("IMPORTRANGE(""https://docs.google.com/spreadsheets/d/11923uPwbBZFjjGgGUA6NLw09EwE0CqkOc4q9oUmW1yo/edit?usp=sharing"",""แพร่!I27"")"),0)</f>
        <v>0</v>
      </c>
      <c r="J87" s="213">
        <f ca="1">IFERROR(__xludf.DUMMYFUNCTION("IMPORTRANGE(""https://docs.google.com/spreadsheets/d/11923uPwbBZFjjGgGUA6NLw09EwE0CqkOc4q9oUmW1yo/edit?usp=sharing"",""แพร่!J27"")"),0)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IFERROR(__xludf.DUMMYFUNCTION("IMPORTRANGE(""https://docs.google.com/spreadsheets/d/11923uPwbBZFjjGgGUA6NLw09EwE0CqkOc4q9oUmW1yo/edit?usp=sharing"",""แพร่!I28"")"),0)</f>
        <v>0</v>
      </c>
      <c r="J88" s="213">
        <f ca="1">IFERROR(__xludf.DUMMYFUNCTION("IMPORTRANGE(""https://docs.google.com/spreadsheets/d/11923uPwbBZFjjGgGUA6NLw09EwE0CqkOc4q9oUmW1yo/edit?usp=sharing"",""แพร่!J28"")"),0)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IFERROR(__xludf.DUMMYFUNCTION("IMPORTRANGE(""https://docs.google.com/spreadsheets/d/11923uPwbBZFjjGgGUA6NLw09EwE0CqkOc4q9oUmW1yo/edit?usp=sharing"",""แพร่!J29"")"),0)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IFERROR(__xludf.DUMMYFUNCTION("IMPORTRANGE(""https://docs.google.com/spreadsheets/d/11923uPwbBZFjjGgGUA6NLw09EwE0CqkOc4q9oUmW1yo/edit?usp=sharing"",""แพร่!J30"")"),0)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IFERROR(__xludf.DUMMYFUNCTION("IMPORTRANGE(""https://docs.google.com/spreadsheets/d/11923uPwbBZFjjGgGUA6NLw09EwE0CqkOc4q9oUmW1yo/edit?usp=sharing"",""แพร่!I32"")"),7)</f>
        <v>7</v>
      </c>
      <c r="J92" s="148">
        <f ca="1">IFERROR(__xludf.DUMMYFUNCTION("IMPORTRANGE(""https://docs.google.com/spreadsheets/d/11923uPwbBZFjjGgGUA6NLw09EwE0CqkOc4q9oUmW1yo/edit?usp=sharing"",""แพร่!J32"")"),0)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IFERROR(__xludf.DUMMYFUNCTION("IMPORTRANGE(""https://docs.google.com/spreadsheets/d/11923uPwbBZFjjGgGUA6NLw09EwE0CqkOc4q9oUmW1yo/edit?usp=sharing"",""แพร่!I33"")"),2)</f>
        <v>2</v>
      </c>
      <c r="J93" s="148">
        <f ca="1">IFERROR(__xludf.DUMMYFUNCTION("IMPORTRANGE(""https://docs.google.com/spreadsheets/d/11923uPwbBZFjjGgGUA6NLw09EwE0CqkOc4q9oUmW1yo/edit?usp=sharing"",""แพร่!J33"")"),0)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318960</v>
      </c>
      <c r="M94" s="158">
        <f t="shared" ca="1" si="52"/>
        <v>80790</v>
      </c>
      <c r="N94" s="158">
        <f t="shared" ca="1" si="52"/>
        <v>242525</v>
      </c>
      <c r="O94" s="157">
        <f t="shared" ref="O94:O96" ca="1" si="53">IF(L94&gt;0,N94*100/L94,0)</f>
        <v>76.036180085277152</v>
      </c>
      <c r="P94" s="157">
        <f t="shared" ref="P94:P96" ca="1" si="54">IF(M94&gt;0,N94*100/M94,0)</f>
        <v>300.19185542765194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318960</v>
      </c>
      <c r="M96" s="163">
        <f t="shared" ca="1" si="56"/>
        <v>80790</v>
      </c>
      <c r="N96" s="163">
        <f t="shared" ca="1" si="56"/>
        <v>242525</v>
      </c>
      <c r="O96" s="162">
        <f t="shared" ca="1" si="53"/>
        <v>76.036180085277152</v>
      </c>
      <c r="P96" s="162">
        <f t="shared" ca="1" si="54"/>
        <v>300.19185542765194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134160</v>
      </c>
      <c r="M98" s="176">
        <f ca="1">IFERROR(__xludf.DUMMYFUNCTION("IMPORTRANGE(""https://docs.google.com/spreadsheets/d/1Yj_ptqi66GCucihVvJfMjLAmec39IyEx_6qawtMGysU/edit?usp=sharing"",""สบก!AR30"")"),80790)</f>
        <v>80790</v>
      </c>
      <c r="N98" s="177">
        <f ca="1">IFERROR(__xludf.DUMMYFUNCTION("IMPORTRANGE(""https://docs.google.com/spreadsheets/d/1Yj_ptqi66GCucihVvJfMjLAmec39IyEx_6qawtMGysU/edit?usp=sharing"",""สบก!AS30"")"),57725)</f>
        <v>57725</v>
      </c>
      <c r="O98" s="178">
        <f ca="1">IF(L98&gt;0,N98*100/L98,0)</f>
        <v>43.026982707215268</v>
      </c>
      <c r="P98" s="178">
        <f ca="1">IF(M98&gt;0,N98*100/M98,0)</f>
        <v>71.450674588439156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IFERROR(__xludf.DUMMYFUNCTION("IMPORTRANGE(""https://docs.google.com/spreadsheets/d/1Yj_ptqi66GCucihVvJfMjLAmec39IyEx_6qawtMGysU/edit?usp=sharing"",""สบก!AN30"")"),0)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IFERROR(__xludf.DUMMYFUNCTION("IMPORTRANGE(""https://docs.google.com/spreadsheets/d/1Yj_ptqi66GCucihVvJfMjLAmec39IyEx_6qawtMGysU/edit?usp=sharing"",""สบก!AO30"")"),134160)</f>
        <v>134160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IFERROR(__xludf.DUMMYFUNCTION("IMPORTRANGE(""https://docs.google.com/spreadsheets/d/1Yj_ptqi66GCucihVvJfMjLAmec39IyEx_6qawtMGysU/edit?usp=sharing"",""สบก!AP30"")"),184800)</f>
        <v>184800</v>
      </c>
      <c r="M102" s="103"/>
      <c r="N102" s="93">
        <f ca="1">IFERROR(__xludf.DUMMYFUNCTION("IMPORTRANGE(""https://docs.google.com/spreadsheets/d/1Yj_ptqi66GCucihVvJfMjLAmec39IyEx_6qawtMGysU/edit?usp=sharing"",""สบก!AT30"")"),184800)</f>
        <v>184800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IFERROR(__xludf.DUMMYFUNCTION("IMPORTRANGE(""https://docs.google.com/spreadsheets/d/11923uPwbBZFjjGgGUA6NLw09EwE0CqkOc4q9oUmW1yo/edit?usp=sharing"",""แพร่!J39"")"),0)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IFERROR(__xludf.DUMMYFUNCTION("IMPORTRANGE(""https://docs.google.com/spreadsheets/d/11923uPwbBZFjjGgGUA6NLw09EwE0CqkOc4q9oUmW1yo/edit?usp=sharing"",""แพร่!J40"")"),1)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IFERROR(__xludf.DUMMYFUNCTION("IMPORTRANGE(""https://docs.google.com/spreadsheets/d/11923uPwbBZFjjGgGUA6NLw09EwE0CqkOc4q9oUmW1yo/edit?usp=sharing"",""แพร่!J41"")"),1)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IFERROR(__xludf.DUMMYFUNCTION("IMPORTRANGE(""https://docs.google.com/spreadsheets/d/11923uPwbBZFjjGgGUA6NLw09EwE0CqkOc4q9oUmW1yo/edit?usp=sharing"",""แพร่!J42"")"),1)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IFERROR(__xludf.DUMMYFUNCTION("IMPORTRANGE(""https://docs.google.com/spreadsheets/d/11923uPwbBZFjjGgGUA6NLw09EwE0CqkOc4q9oUmW1yo/edit?usp=sharing"",""แพร่!I43"")"),1)</f>
        <v>1</v>
      </c>
      <c r="J108" s="213">
        <f ca="1">IFERROR(__xludf.DUMMYFUNCTION("IMPORTRANGE(""https://docs.google.com/spreadsheets/d/11923uPwbBZFjjGgGUA6NLw09EwE0CqkOc4q9oUmW1yo/edit?usp=sharing"",""แพร่!J43"")"),1)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IFERROR(__xludf.DUMMYFUNCTION("IMPORTRANGE(""https://docs.google.com/spreadsheets/d/11923uPwbBZFjjGgGUA6NLw09EwE0CqkOc4q9oUmW1yo/edit?usp=sharing"",""แพร่!I44"")"),7)</f>
        <v>7</v>
      </c>
      <c r="J109" s="213">
        <f ca="1">IFERROR(__xludf.DUMMYFUNCTION("IMPORTRANGE(""https://docs.google.com/spreadsheets/d/11923uPwbBZFjjGgGUA6NLw09EwE0CqkOc4q9oUmW1yo/edit?usp=sharing"",""แพร่!J44"")"),0)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IFERROR(__xludf.DUMMYFUNCTION("IMPORTRANGE(""https://docs.google.com/spreadsheets/d/11923uPwbBZFjjGgGUA6NLw09EwE0CqkOc4q9oUmW1yo/edit?usp=sharing"",""แพร่!I45"")"),7)</f>
        <v>7</v>
      </c>
      <c r="J110" s="213">
        <f ca="1">IFERROR(__xludf.DUMMYFUNCTION("IMPORTRANGE(""https://docs.google.com/spreadsheets/d/11923uPwbBZFjjGgGUA6NLw09EwE0CqkOc4q9oUmW1yo/edit?usp=sharing"",""แพร่!J45"")"),7)</f>
        <v>7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IFERROR(__xludf.DUMMYFUNCTION("IMPORTRANGE(""https://docs.google.com/spreadsheets/d/11923uPwbBZFjjGgGUA6NLw09EwE0CqkOc4q9oUmW1yo/edit?usp=sharing"",""แพร่!I46"")"),7)</f>
        <v>7</v>
      </c>
      <c r="J111" s="213">
        <f ca="1">IFERROR(__xludf.DUMMYFUNCTION("IMPORTRANGE(""https://docs.google.com/spreadsheets/d/11923uPwbBZFjjGgGUA6NLw09EwE0CqkOc4q9oUmW1yo/edit?usp=sharing"",""แพร่!J46"")"),0)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IFERROR(__xludf.DUMMYFUNCTION("IMPORTRANGE(""https://docs.google.com/spreadsheets/d/11923uPwbBZFjjGgGUA6NLw09EwE0CqkOc4q9oUmW1yo/edit?usp=sharing"",""แพร่!I47"")"),7)</f>
        <v>7</v>
      </c>
      <c r="J112" s="213">
        <f ca="1">IFERROR(__xludf.DUMMYFUNCTION("IMPORTRANGE(""https://docs.google.com/spreadsheets/d/11923uPwbBZFjjGgGUA6NLw09EwE0CqkOc4q9oUmW1yo/edit?usp=sharing"",""แพร่!J47"")"),0)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IFERROR(__xludf.DUMMYFUNCTION("IMPORTRANGE(""https://docs.google.com/spreadsheets/d/11923uPwbBZFjjGgGUA6NLw09EwE0CqkOc4q9oUmW1yo/edit?usp=sharing"",""แพร่!I48"")"),2)</f>
        <v>2</v>
      </c>
      <c r="J113" s="213">
        <f ca="1">IFERROR(__xludf.DUMMYFUNCTION("IMPORTRANGE(""https://docs.google.com/spreadsheets/d/11923uPwbBZFjjGgGUA6NLw09EwE0CqkOc4q9oUmW1yo/edit?usp=sharing"",""แพร่!J48"")"),0)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IFERROR(__xludf.DUMMYFUNCTION("IMPORTRANGE(""https://docs.google.com/spreadsheets/d/11923uPwbBZFjjGgGUA6NLw09EwE0CqkOc4q9oUmW1yo/edit?usp=sharing"",""แพร่!J49"")"),0)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IFERROR(__xludf.DUMMYFUNCTION("IMPORTRANGE(""https://docs.google.com/spreadsheets/d/11923uPwbBZFjjGgGUA6NLw09EwE0CqkOc4q9oUmW1yo/edit?usp=sharing"",""แพร่!J50"")"),0)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IFERROR(__xludf.DUMMYFUNCTION("IMPORTRANGE(""https://docs.google.com/spreadsheets/d/11923uPwbBZFjjGgGUA6NLw09EwE0CqkOc4q9oUmW1yo/edit?usp=sharing"",""แพร่!I52"")"),20)</f>
        <v>20</v>
      </c>
      <c r="J117" s="148">
        <f ca="1">IFERROR(__xludf.DUMMYFUNCTION("IMPORTRANGE(""https://docs.google.com/spreadsheets/d/11923uPwbBZFjjGgGUA6NLw09EwE0CqkOc4q9oUmW1yo/edit?usp=sharing"",""แพร่!J52"")"),30)</f>
        <v>30</v>
      </c>
      <c r="K117" s="149">
        <f ca="1">IF(I117&gt;0,J117*100/I117,0)</f>
        <v>150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66440</v>
      </c>
      <c r="O118" s="157">
        <f t="shared" ref="O118:O120" ca="1" si="59">IF(L118&gt;0,N118*100/L118,0)</f>
        <v>80.591945657447837</v>
      </c>
      <c r="P118" s="157">
        <f t="shared" ref="P118:P120" ca="1" si="60">IF(M118&gt;0,N118*100/M118,0)</f>
        <v>100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66440</v>
      </c>
      <c r="O120" s="162">
        <f t="shared" ca="1" si="59"/>
        <v>80.591945657447837</v>
      </c>
      <c r="P120" s="162">
        <f t="shared" ca="1" si="60"/>
        <v>100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IFERROR(__xludf.DUMMYFUNCTION("IMPORTRANGE(""https://docs.google.com/spreadsheets/d/1Yj_ptqi66GCucihVvJfMjLAmec39IyEx_6qawtMGysU/edit?usp=sharing"",""สบก!BA30"")"),66440)</f>
        <v>66440</v>
      </c>
      <c r="N122" s="177">
        <f ca="1">IFERROR(__xludf.DUMMYFUNCTION("IMPORTRANGE(""https://docs.google.com/spreadsheets/d/1Yj_ptqi66GCucihVvJfMjLAmec39IyEx_6qawtMGysU/edit?usp=sharing"",""สบก!BB30"")"),66440)</f>
        <v>66440</v>
      </c>
      <c r="O122" s="178">
        <f ca="1">IF(L122&gt;0,N122*100/L122,0)</f>
        <v>80.591945657447837</v>
      </c>
      <c r="P122" s="178">
        <f ca="1">IF(M122&gt;0,N122*100/M122,0)</f>
        <v>100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IFERROR(__xludf.DUMMYFUNCTION("IMPORTRANGE(""https://docs.google.com/spreadsheets/d/1Yj_ptqi66GCucihVvJfMjLAmec39IyEx_6qawtMGysU/edit?usp=sharing"",""สบก!AW30"")"),0)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IFERROR(__xludf.DUMMYFUNCTION("IMPORTRANGE(""https://docs.google.com/spreadsheets/d/1Yj_ptqi66GCucihVvJfMjLAmec39IyEx_6qawtMGysU/edit?usp=sharing"",""สบก!AX30"")"),82440)</f>
        <v>82440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IFERROR(__xludf.DUMMYFUNCTION("IMPORTRANGE(""https://docs.google.com/spreadsheets/d/1Yj_ptqi66GCucihVvJfMjLAmec39IyEx_6qawtMGysU/edit?usp=sharing"",""สบก!AY30"")"),0)</f>
        <v>0</v>
      </c>
      <c r="M126" s="103"/>
      <c r="N126" s="93">
        <f ca="1">IFERROR(__xludf.DUMMYFUNCTION("IMPORTRANGE(""https://docs.google.com/spreadsheets/d/1Yj_ptqi66GCucihVvJfMjLAmec39IyEx_6qawtMGysU/edit?usp=sharing"",""สบก!BC30"")"),0)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259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IFERROR(__xludf.DUMMYFUNCTION("IMPORTRANGE(""https://docs.google.com/spreadsheets/d/11923uPwbBZFjjGgGUA6NLw09EwE0CqkOc4q9oUmW1yo/edit?usp=sharing"",""แพร่!J58"")"),0)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IFERROR(__xludf.DUMMYFUNCTION("IMPORTRANGE(""https://docs.google.com/spreadsheets/d/11923uPwbBZFjjGgGUA6NLw09EwE0CqkOc4q9oUmW1yo/edit?usp=sharing"",""แพร่!J59"")"),1)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IFERROR(__xludf.DUMMYFUNCTION("IMPORTRANGE(""https://docs.google.com/spreadsheets/d/11923uPwbBZFjjGgGUA6NLw09EwE0CqkOc4q9oUmW1yo/edit?usp=sharing"",""แพร่!J60"")"),1)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IFERROR(__xludf.DUMMYFUNCTION("IMPORTRANGE(""https://docs.google.com/spreadsheets/d/11923uPwbBZFjjGgGUA6NLw09EwE0CqkOc4q9oUmW1yo/edit?usp=sharing"",""แพร่!J61"")"),1)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IFERROR(__xludf.DUMMYFUNCTION("IMPORTRANGE(""https://docs.google.com/spreadsheets/d/11923uPwbBZFjjGgGUA6NLw09EwE0CqkOc4q9oUmW1yo/edit?usp=sharing"",""แพร่!I62"")"),20)</f>
        <v>20</v>
      </c>
      <c r="J132" s="213">
        <f ca="1">IFERROR(__xludf.DUMMYFUNCTION("IMPORTRANGE(""https://docs.google.com/spreadsheets/d/11923uPwbBZFjjGgGUA6NLw09EwE0CqkOc4q9oUmW1yo/edit?usp=sharing"",""แพร่!J62"")"),30)</f>
        <v>30</v>
      </c>
      <c r="K132" s="233">
        <f t="shared" ref="K132:K133" ca="1" si="63">IF(I132&gt;0,J132*100/I132,0)</f>
        <v>150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IFERROR(__xludf.DUMMYFUNCTION("IMPORTRANGE(""https://docs.google.com/spreadsheets/d/11923uPwbBZFjjGgGUA6NLw09EwE0CqkOc4q9oUmW1yo/edit?usp=sharing"",""แพร่!I63"")"),20)</f>
        <v>20</v>
      </c>
      <c r="J133" s="213">
        <f ca="1">IFERROR(__xludf.DUMMYFUNCTION("IMPORTRANGE(""https://docs.google.com/spreadsheets/d/11923uPwbBZFjjGgGUA6NLw09EwE0CqkOc4q9oUmW1yo/edit?usp=sharing"",""แพร่!J63"")"),0)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IFERROR(__xludf.DUMMYFUNCTION("IMPORTRANGE(""https://docs.google.com/spreadsheets/d/11923uPwbBZFjjGgGUA6NLw09EwE0CqkOc4q9oUmW1yo/edit?usp=sharing"",""แพร่!J64"")"),0)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IFERROR(__xludf.DUMMYFUNCTION("IMPORTRANGE(""https://docs.google.com/spreadsheets/d/11923uPwbBZFjjGgGUA6NLw09EwE0CqkOc4q9oUmW1yo/edit?usp=sharing"",""แพร่!J65"")"),0)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IFERROR(__xludf.DUMMYFUNCTION("IMPORTRANGE(""https://docs.google.com/spreadsheets/d/11923uPwbBZFjjGgGUA6NLw09EwE0CqkOc4q9oUmW1yo/edit?usp=sharing"",""แพร่!I68"")"),0)</f>
        <v>0</v>
      </c>
      <c r="J138" s="276">
        <f ca="1">IFERROR(__xludf.DUMMYFUNCTION("IMPORTRANGE(""https://docs.google.com/spreadsheets/d/11923uPwbBZFjjGgGUA6NLw09EwE0CqkOc4q9oUmW1yo/edit?usp=sharing"",""แพร่!J68"")"),0)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69000</v>
      </c>
      <c r="M140" s="158">
        <f t="shared" ca="1" si="64"/>
        <v>45750</v>
      </c>
      <c r="N140" s="158">
        <f t="shared" ca="1" si="64"/>
        <v>480</v>
      </c>
      <c r="O140" s="157">
        <f t="shared" ref="O140:O142" ca="1" si="65">IF(L140&gt;0,N140*100/L140,0)</f>
        <v>0.69565217391304346</v>
      </c>
      <c r="P140" s="157">
        <f t="shared" ref="P140:P142" ca="1" si="66">IF(M140&gt;0,N140*100/M140,0)</f>
        <v>1.0491803278688525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69000</v>
      </c>
      <c r="M142" s="163">
        <f t="shared" ca="1" si="68"/>
        <v>45750</v>
      </c>
      <c r="N142" s="163">
        <f t="shared" ca="1" si="68"/>
        <v>480</v>
      </c>
      <c r="O142" s="162">
        <f t="shared" ca="1" si="65"/>
        <v>0.69565217391304346</v>
      </c>
      <c r="P142" s="162">
        <f t="shared" ca="1" si="66"/>
        <v>1.0491803278688525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69000</v>
      </c>
      <c r="M144" s="176">
        <f ca="1">IFERROR(__xludf.DUMMYFUNCTION("IMPORTRANGE(""https://docs.google.com/spreadsheets/d/1Yj_ptqi66GCucihVvJfMjLAmec39IyEx_6qawtMGysU/edit?usp=sharing"",""สบก!BJ30"")"),45750)</f>
        <v>45750</v>
      </c>
      <c r="N144" s="177">
        <f ca="1">IFERROR(__xludf.DUMMYFUNCTION("IMPORTRANGE(""https://docs.google.com/spreadsheets/d/1Yj_ptqi66GCucihVvJfMjLAmec39IyEx_6qawtMGysU/edit?usp=sharing"",""สบก!BK30"")"),480)</f>
        <v>480</v>
      </c>
      <c r="O144" s="178">
        <f ca="1">IF(L144&gt;0,N144*100/L144,0)</f>
        <v>0.69565217391304346</v>
      </c>
      <c r="P144" s="178">
        <f ca="1">IF(M144&gt;0,N144*100/M144,0)</f>
        <v>1.0491803278688525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IFERROR(__xludf.DUMMYFUNCTION("IMPORTRANGE(""https://docs.google.com/spreadsheets/d/1Yj_ptqi66GCucihVvJfMjLAmec39IyEx_6qawtMGysU/edit?usp=sharing"",""สบก!BF30"")"),0)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IFERROR(__xludf.DUMMYFUNCTION("IMPORTRANGE(""https://docs.google.com/spreadsheets/d/1Yj_ptqi66GCucihVvJfMjLAmec39IyEx_6qawtMGysU/edit?usp=sharing"",""สบก!BG30"")"),69000)</f>
        <v>69000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IFERROR(__xludf.DUMMYFUNCTION("IMPORTRANGE(""https://docs.google.com/spreadsheets/d/1Yj_ptqi66GCucihVvJfMjLAmec39IyEx_6qawtMGysU/edit?usp=sharing"",""สบก!BH30"")"),0)</f>
        <v>0</v>
      </c>
      <c r="M148" s="103"/>
      <c r="N148" s="93">
        <f ca="1">IFERROR(__xludf.DUMMYFUNCTION("IMPORTRANGE(""https://docs.google.com/spreadsheets/d/1Yj_ptqi66GCucihVvJfMjLAmec39IyEx_6qawtMGysU/edit?usp=sharing"",""สบก!BL30"")"),0)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IFERROR(__xludf.DUMMYFUNCTION("IMPORTRANGE(""https://docs.google.com/spreadsheets/d/11923uPwbBZFjjGgGUA6NLw09EwE0CqkOc4q9oUmW1yo/edit?usp=sharing"",""แพร่!I74"")"),4)</f>
        <v>4</v>
      </c>
      <c r="J149" s="284">
        <f ca="1">IFERROR(__xludf.DUMMYFUNCTION("IMPORTRANGE(""https://docs.google.com/spreadsheets/d/11923uPwbBZFjjGgGUA6NLw09EwE0CqkOc4q9oUmW1yo/edit?usp=sharing"",""แพร่!J74"")"),1)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IFERROR(__xludf.DUMMYFUNCTION("IMPORTRANGE(""https://docs.google.com/spreadsheets/d/11923uPwbBZFjjGgGUA6NLw09EwE0CqkOc4q9oUmW1yo/edit?usp=sharing"",""แพร่!J79"")"),0)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IFERROR(__xludf.DUMMYFUNCTION("IMPORTRANGE(""https://docs.google.com/spreadsheets/d/11923uPwbBZFjjGgGUA6NLw09EwE0CqkOc4q9oUmW1yo/edit?usp=sharing"",""แพร่!J80"")"),1)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IFERROR(__xludf.DUMMYFUNCTION("IMPORTRANGE(""https://docs.google.com/spreadsheets/d/11923uPwbBZFjjGgGUA6NLw09EwE0CqkOc4q9oUmW1yo/edit?usp=sharing"",""แพร่!J81"")"),1)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IFERROR(__xludf.DUMMYFUNCTION("IMPORTRANGE(""https://docs.google.com/spreadsheets/d/11923uPwbBZFjjGgGUA6NLw09EwE0CqkOc4q9oUmW1yo/edit?usp=sharing"",""แพร่!J82"")"),1)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IFERROR(__xludf.DUMMYFUNCTION("IMPORTRANGE(""https://docs.google.com/spreadsheets/d/11923uPwbBZFjjGgGUA6NLw09EwE0CqkOc4q9oUmW1yo/edit?usp=sharing"",""แพร่!I83"")"),4)</f>
        <v>4</v>
      </c>
      <c r="J158" s="198">
        <f ca="1">IFERROR(__xludf.DUMMYFUNCTION("IMPORTRANGE(""https://docs.google.com/spreadsheets/d/11923uPwbBZFjjGgGUA6NLw09EwE0CqkOc4q9oUmW1yo/edit?usp=sharing"",""แพร่!J83"")"),1)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IFERROR(__xludf.DUMMYFUNCTION("IMPORTRANGE(""https://docs.google.com/spreadsheets/d/11923uPwbBZFjjGgGUA6NLw09EwE0CqkOc4q9oUmW1yo/edit?usp=sharing"",""แพร่!J84"")"),52)</f>
        <v>52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IFERROR(__xludf.DUMMYFUNCTION("IMPORTRANGE(""https://docs.google.com/spreadsheets/d/11923uPwbBZFjjGgGUA6NLw09EwE0CqkOc4q9oUmW1yo/edit?usp=sharing"",""แพร่!J85"")"),52)</f>
        <v>52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IFERROR(__xludf.DUMMYFUNCTION("IMPORTRANGE(""https://docs.google.com/spreadsheets/d/11923uPwbBZFjjGgGUA6NLw09EwE0CqkOc4q9oUmW1yo/edit?usp=sharing"",""แพร่!J86"")"),0)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IFERROR(__xludf.DUMMYFUNCTION("IMPORTRANGE(""https://docs.google.com/spreadsheets/d/11923uPwbBZFjjGgGUA6NLw09EwE0CqkOc4q9oUmW1yo/edit?usp=sharing"",""แพร่!J87"")"),0)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IFERROR(__xludf.DUMMYFUNCTION("IMPORTRANGE(""https://docs.google.com/spreadsheets/d/11923uPwbBZFjjGgGUA6NLw09EwE0CqkOc4q9oUmW1yo/edit?usp=sharing"",""แพร่!J88"")"),0)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IFERROR(__xludf.DUMMYFUNCTION("IMPORTRANGE(""https://docs.google.com/spreadsheets/d/11923uPwbBZFjjGgGUA6NLw09EwE0CqkOc4q9oUmW1yo/edit?usp=sharing"",""แพร่!I89"")"),3)</f>
        <v>3</v>
      </c>
      <c r="J164" s="292">
        <f ca="1">IFERROR(__xludf.DUMMYFUNCTION("IMPORTRANGE(""https://docs.google.com/spreadsheets/d/11923uPwbBZFjjGgGUA6NLw09EwE0CqkOc4q9oUmW1yo/edit?usp=sharing"",""แพร่!J89"")"),0)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IFERROR(__xludf.DUMMYFUNCTION("IMPORTRANGE(""https://docs.google.com/spreadsheets/d/11923uPwbBZFjjGgGUA6NLw09EwE0CqkOc4q9oUmW1yo/edit?usp=sharing"",""แพร่!J94"")"),0)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IFERROR(__xludf.DUMMYFUNCTION("IMPORTRANGE(""https://docs.google.com/spreadsheets/d/11923uPwbBZFjjGgGUA6NLw09EwE0CqkOc4q9oUmW1yo/edit?usp=sharing"",""แพร่!J95"")"),1)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IFERROR(__xludf.DUMMYFUNCTION("IMPORTRANGE(""https://docs.google.com/spreadsheets/d/11923uPwbBZFjjGgGUA6NLw09EwE0CqkOc4q9oUmW1yo/edit?usp=sharing"",""แพร่!J96"")"),1)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IFERROR(__xludf.DUMMYFUNCTION("IMPORTRANGE(""https://docs.google.com/spreadsheets/d/11923uPwbBZFjjGgGUA6NLw09EwE0CqkOc4q9oUmW1yo/edit?usp=sharing"",""แพร่!J97"")"),1)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IFERROR(__xludf.DUMMYFUNCTION("IMPORTRANGE(""https://docs.google.com/spreadsheets/d/11923uPwbBZFjjGgGUA6NLw09EwE0CqkOc4q9oUmW1yo/edit?usp=sharing"",""แพร่!I98"")"),3)</f>
        <v>3</v>
      </c>
      <c r="J173" s="198">
        <f ca="1">IFERROR(__xludf.DUMMYFUNCTION("IMPORTRANGE(""https://docs.google.com/spreadsheets/d/11923uPwbBZFjjGgGUA6NLw09EwE0CqkOc4q9oUmW1yo/edit?usp=sharing"",""แพร่!J98"")"),0)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IFERROR(__xludf.DUMMYFUNCTION("IMPORTRANGE(""https://docs.google.com/spreadsheets/d/11923uPwbBZFjjGgGUA6NLw09EwE0CqkOc4q9oUmW1yo/edit?usp=sharing"",""แพร่!J99"")"),0)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IFERROR(__xludf.DUMMYFUNCTION("IMPORTRANGE(""https://docs.google.com/spreadsheets/d/11923uPwbBZFjjGgGUA6NLw09EwE0CqkOc4q9oUmW1yo/edit?usp=sharing"",""แพร่!J100"")"),0)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IFERROR(__xludf.DUMMYFUNCTION("IMPORTRANGE(""https://docs.google.com/spreadsheets/d/11923uPwbBZFjjGgGUA6NLw09EwE0CqkOc4q9oUmW1yo/edit?usp=sharing"",""แพร่!I101"")"),0)</f>
        <v>0</v>
      </c>
      <c r="J176" s="292">
        <f ca="1">IFERROR(__xludf.DUMMYFUNCTION("IMPORTRANGE(""https://docs.google.com/spreadsheets/d/11923uPwbBZFjjGgGUA6NLw09EwE0CqkOc4q9oUmW1yo/edit?usp=sharing"",""แพร่!J101"")"),0)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IFERROR(__xludf.DUMMYFUNCTION("IMPORTRANGE(""https://docs.google.com/spreadsheets/d/11923uPwbBZFjjGgGUA6NLw09EwE0CqkOc4q9oUmW1yo/edit?usp=sharing"",""แพร่!J106"")"),0)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IFERROR(__xludf.DUMMYFUNCTION("IMPORTRANGE(""https://docs.google.com/spreadsheets/d/11923uPwbBZFjjGgGUA6NLw09EwE0CqkOc4q9oUmW1yo/edit?usp=sharing"",""แพร่!J107"")"),0)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IFERROR(__xludf.DUMMYFUNCTION("IMPORTRANGE(""https://docs.google.com/spreadsheets/d/11923uPwbBZFjjGgGUA6NLw09EwE0CqkOc4q9oUmW1yo/edit?usp=sharing"",""แพร่!J108"")"),0)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IFERROR(__xludf.DUMMYFUNCTION("IMPORTRANGE(""https://docs.google.com/spreadsheets/d/11923uPwbBZFjjGgGUA6NLw09EwE0CqkOc4q9oUmW1yo/edit?usp=sharing"",""แพร่!J109"")"),0)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IFERROR(__xludf.DUMMYFUNCTION("IMPORTRANGE(""https://docs.google.com/spreadsheets/d/11923uPwbBZFjjGgGUA6NLw09EwE0CqkOc4q9oUmW1yo/edit?usp=sharing"",""แพร่!I110"")"),0)</f>
        <v>0</v>
      </c>
      <c r="J185" s="213">
        <f ca="1">IFERROR(__xludf.DUMMYFUNCTION("IMPORTRANGE(""https://docs.google.com/spreadsheets/d/11923uPwbBZFjjGgGUA6NLw09EwE0CqkOc4q9oUmW1yo/edit?usp=sharing"",""แพร่!J110"")"),0)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IFERROR(__xludf.DUMMYFUNCTION("IMPORTRANGE(""https://docs.google.com/spreadsheets/d/11923uPwbBZFjjGgGUA6NLw09EwE0CqkOc4q9oUmW1yo/edit?usp=sharing"",""แพร่!I111"")"),0)</f>
        <v>0</v>
      </c>
      <c r="J186" s="213">
        <f ca="1">IFERROR(__xludf.DUMMYFUNCTION("IMPORTRANGE(""https://docs.google.com/spreadsheets/d/11923uPwbBZFjjGgGUA6NLw09EwE0CqkOc4q9oUmW1yo/edit?usp=sharing"",""แพร่!J111"")"),0)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IFERROR(__xludf.DUMMYFUNCTION("IMPORTRANGE(""https://docs.google.com/spreadsheets/d/11923uPwbBZFjjGgGUA6NLw09EwE0CqkOc4q9oUmW1yo/edit?usp=sharing"",""แพร่!J112"")"),0)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IFERROR(__xludf.DUMMYFUNCTION("IMPORTRANGE(""https://docs.google.com/spreadsheets/d/11923uPwbBZFjjGgGUA6NLw09EwE0CqkOc4q9oUmW1yo/edit?usp=sharing"",""แพร่!J113"")"),0)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IFERROR(__xludf.DUMMYFUNCTION("IMPORTRANGE(""https://docs.google.com/spreadsheets/d/11923uPwbBZFjjGgGUA6NLw09EwE0CqkOc4q9oUmW1yo/edit?usp=sharing"",""แพร่!I114"")"),50000)</f>
        <v>50000</v>
      </c>
      <c r="J189" s="292">
        <f ca="1">IFERROR(__xludf.DUMMYFUNCTION("IMPORTRANGE(""https://docs.google.com/spreadsheets/d/11923uPwbBZFjjGgGUA6NLw09EwE0CqkOc4q9oUmW1yo/edit?usp=sharing"",""แพร่!J114"")"),0)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IFERROR(__xludf.DUMMYFUNCTION("IMPORTRANGE(""https://docs.google.com/spreadsheets/d/11923uPwbBZFjjGgGUA6NLw09EwE0CqkOc4q9oUmW1yo/edit?usp=sharing"",""แพร่!J119"")"),1)</f>
        <v>1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IFERROR(__xludf.DUMMYFUNCTION("IMPORTRANGE(""https://docs.google.com/spreadsheets/d/11923uPwbBZFjjGgGUA6NLw09EwE0CqkOc4q9oUmW1yo/edit?usp=sharing"",""แพร่!J120"")"),0)</f>
        <v>0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IFERROR(__xludf.DUMMYFUNCTION("IMPORTRANGE(""https://docs.google.com/spreadsheets/d/11923uPwbBZFjjGgGUA6NLw09EwE0CqkOc4q9oUmW1yo/edit?usp=sharing"",""แพร่!J121"")"),0)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IFERROR(__xludf.DUMMYFUNCTION("IMPORTRANGE(""https://docs.google.com/spreadsheets/d/11923uPwbBZFjjGgGUA6NLw09EwE0CqkOc4q9oUmW1yo/edit?usp=sharing"",""แพร่!J122"")"),0)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IFERROR(__xludf.DUMMYFUNCTION("IMPORTRANGE(""https://docs.google.com/spreadsheets/d/11923uPwbBZFjjGgGUA6NLw09EwE0CqkOc4q9oUmW1yo/edit?usp=sharing"",""แพร่!I124"")"),50000)</f>
        <v>50000</v>
      </c>
      <c r="J199" s="198">
        <f ca="1">IFERROR(__xludf.DUMMYFUNCTION("IMPORTRANGE(""https://docs.google.com/spreadsheets/d/11923uPwbBZFjjGgGUA6NLw09EwE0CqkOc4q9oUmW1yo/edit?usp=sharing"",""แพร่!J124"")"),0)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IFERROR(__xludf.DUMMYFUNCTION("IMPORTRANGE(""https://docs.google.com/spreadsheets/d/11923uPwbBZFjjGgGUA6NLw09EwE0CqkOc4q9oUmW1yo/edit?usp=sharing"",""แพร่!I125"")"),50000)</f>
        <v>50000</v>
      </c>
      <c r="J200" s="198">
        <f ca="1">IFERROR(__xludf.DUMMYFUNCTION("IMPORTRANGE(""https://docs.google.com/spreadsheets/d/11923uPwbBZFjjGgGUA6NLw09EwE0CqkOc4q9oUmW1yo/edit?usp=sharing"",""แพร่!J125"")"),0)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IFERROR(__xludf.DUMMYFUNCTION("IMPORTRANGE(""https://docs.google.com/spreadsheets/d/11923uPwbBZFjjGgGUA6NLw09EwE0CqkOc4q9oUmW1yo/edit?usp=sharing"",""แพร่!I126"")"),0)</f>
        <v>0</v>
      </c>
      <c r="J201" s="198">
        <f ca="1">IFERROR(__xludf.DUMMYFUNCTION("IMPORTRANGE(""https://docs.google.com/spreadsheets/d/11923uPwbBZFjjGgGUA6NLw09EwE0CqkOc4q9oUmW1yo/edit?usp=sharing"",""แพร่!J126"")"),0)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IFERROR(__xludf.DUMMYFUNCTION("IMPORTRANGE(""https://docs.google.com/spreadsheets/d/11923uPwbBZFjjGgGUA6NLw09EwE0CqkOc4q9oUmW1yo/edit?usp=sharing"",""แพร่!J127"")"),0)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IFERROR(__xludf.DUMMYFUNCTION("IMPORTRANGE(""https://docs.google.com/spreadsheets/d/11923uPwbBZFjjGgGUA6NLw09EwE0CqkOc4q9oUmW1yo/edit?usp=sharing"",""แพร่!J128"")"),0)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IFERROR(__xludf.DUMMYFUNCTION("IMPORTRANGE(""https://docs.google.com/spreadsheets/d/11923uPwbBZFjjGgGUA6NLw09EwE0CqkOc4q9oUmW1yo/edit?usp=sharing"",""แพร่!I129"")"),0)</f>
        <v>0</v>
      </c>
      <c r="J204" s="292">
        <f ca="1">IFERROR(__xludf.DUMMYFUNCTION("IMPORTRANGE(""https://docs.google.com/spreadsheets/d/11923uPwbBZFjjGgGUA6NLw09EwE0CqkOc4q9oUmW1yo/edit?usp=sharing"",""แพร่!J129"")"),0)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IFERROR(__xludf.DUMMYFUNCTION("IMPORTRANGE(""https://docs.google.com/spreadsheets/d/11923uPwbBZFjjGgGUA6NLw09EwE0CqkOc4q9oUmW1yo/edit?usp=sharing"",""แพร่!J134"")"),0)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IFERROR(__xludf.DUMMYFUNCTION("IMPORTRANGE(""https://docs.google.com/spreadsheets/d/11923uPwbBZFjjGgGUA6NLw09EwE0CqkOc4q9oUmW1yo/edit?usp=sharing"",""แพร่!J135"")"),0)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IFERROR(__xludf.DUMMYFUNCTION("IMPORTRANGE(""https://docs.google.com/spreadsheets/d/11923uPwbBZFjjGgGUA6NLw09EwE0CqkOc4q9oUmW1yo/edit?usp=sharing"",""แพร่!J136"")"),0)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IFERROR(__xludf.DUMMYFUNCTION("IMPORTRANGE(""https://docs.google.com/spreadsheets/d/11923uPwbBZFjjGgGUA6NLw09EwE0CqkOc4q9oUmW1yo/edit?usp=sharing"",""แพร่!J137"")"),0)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IFERROR(__xludf.DUMMYFUNCTION("IMPORTRANGE(""https://docs.google.com/spreadsheets/d/11923uPwbBZFjjGgGUA6NLw09EwE0CqkOc4q9oUmW1yo/edit?usp=sharing"",""แพร่!I138"")"),0)</f>
        <v>0</v>
      </c>
      <c r="J213" s="213">
        <f ca="1">IFERROR(__xludf.DUMMYFUNCTION("IMPORTRANGE(""https://docs.google.com/spreadsheets/d/11923uPwbBZFjjGgGUA6NLw09EwE0CqkOc4q9oUmW1yo/edit?usp=sharing"",""แพร่!J138"")"),0)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IFERROR(__xludf.DUMMYFUNCTION("IMPORTRANGE(""https://docs.google.com/spreadsheets/d/11923uPwbBZFjjGgGUA6NLw09EwE0CqkOc4q9oUmW1yo/edit?usp=sharing"",""แพร่!I140"")"),0)</f>
        <v>0</v>
      </c>
      <c r="J215" s="213">
        <f ca="1">IFERROR(__xludf.DUMMYFUNCTION("IMPORTRANGE(""https://docs.google.com/spreadsheets/d/11923uPwbBZFjjGgGUA6NLw09EwE0CqkOc4q9oUmW1yo/edit?usp=sharing"",""แพร่!J140"")"),0)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IFERROR(__xludf.DUMMYFUNCTION("IMPORTRANGE(""https://docs.google.com/spreadsheets/d/11923uPwbBZFjjGgGUA6NLw09EwE0CqkOc4q9oUmW1yo/edit?usp=sharing"",""แพร่!I141"")"),0)</f>
        <v>0</v>
      </c>
      <c r="J216" s="213">
        <f ca="1">IFERROR(__xludf.DUMMYFUNCTION("IMPORTRANGE(""https://docs.google.com/spreadsheets/d/11923uPwbBZFjjGgGUA6NLw09EwE0CqkOc4q9oUmW1yo/edit?usp=sharing"",""แพร่!J141"")"),0)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IFERROR(__xludf.DUMMYFUNCTION("IMPORTRANGE(""https://docs.google.com/spreadsheets/d/11923uPwbBZFjjGgGUA6NLw09EwE0CqkOc4q9oUmW1yo/edit?usp=sharing"",""แพร่!J142"")"),0)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IFERROR(__xludf.DUMMYFUNCTION("IMPORTRANGE(""https://docs.google.com/spreadsheets/d/11923uPwbBZFjjGgGUA6NLw09EwE0CqkOc4q9oUmW1yo/edit?usp=sharing"",""แพร่!J143"")"),0)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IFERROR(__xludf.DUMMYFUNCTION("IMPORTRANGE(""https://docs.google.com/spreadsheets/d/11923uPwbBZFjjGgGUA6NLw09EwE0CqkOc4q9oUmW1yo/edit?usp=sharing"",""แพร่!I144"")"),15)</f>
        <v>15</v>
      </c>
      <c r="J219" s="276">
        <f ca="1">IFERROR(__xludf.DUMMYFUNCTION("IMPORTRANGE(""https://docs.google.com/spreadsheets/d/11923uPwbBZFjjGgGUA6NLw09EwE0CqkOc4q9oUmW1yo/edit?usp=sharing"",""แพร่!J144"")"),15)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IFERROR(__xludf.DUMMYFUNCTION("IMPORTRANGE(""https://docs.google.com/spreadsheets/d/1Yj_ptqi66GCucihVvJfMjLAmec39IyEx_6qawtMGysU/edit?usp=sharing"",""สบก!BS30"")"),21125)</f>
        <v>21125</v>
      </c>
      <c r="N224" s="177">
        <f ca="1">IFERROR(__xludf.DUMMYFUNCTION("IMPORTRANGE(""https://docs.google.com/spreadsheets/d/1Yj_ptqi66GCucihVvJfMjLAmec39IyEx_6qawtMGysU/edit?usp=sharing"",""สบก!BT30"")"),21125)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IFERROR(__xludf.DUMMYFUNCTION("IMPORTRANGE(""https://docs.google.com/spreadsheets/d/1Yj_ptqi66GCucihVvJfMjLAmec39IyEx_6qawtMGysU/edit?usp=sharing"",""สบก!BO30"")"),0)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IFERROR(__xludf.DUMMYFUNCTION("IMPORTRANGE(""https://docs.google.com/spreadsheets/d/1Yj_ptqi66GCucihVvJfMjLAmec39IyEx_6qawtMGysU/edit?usp=sharing"",""สบก!BP30"")"),21125)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IFERROR(__xludf.DUMMYFUNCTION("IMPORTRANGE(""https://docs.google.com/spreadsheets/d/1Yj_ptqi66GCucihVvJfMjLAmec39IyEx_6qawtMGysU/edit?usp=sharing"",""สบก!BQ30"")"),0)</f>
        <v>0</v>
      </c>
      <c r="M228" s="103"/>
      <c r="N228" s="93">
        <f ca="1">IFERROR(__xludf.DUMMYFUNCTION("IMPORTRANGE(""https://docs.google.com/spreadsheets/d/1Yj_ptqi66GCucihVvJfMjLAmec39IyEx_6qawtMGysU/edit?usp=sharing"",""สบก!BU30"")"),0)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IFERROR(__xludf.DUMMYFUNCTION("IMPORTRANGE(""https://docs.google.com/spreadsheets/d/11923uPwbBZFjjGgGUA6NLw09EwE0CqkOc4q9oUmW1yo/edit?usp=sharing"",""แพร่!I149"")"),15)</f>
        <v>15</v>
      </c>
      <c r="J229" s="276">
        <f ca="1">IFERROR(__xludf.DUMMYFUNCTION("IMPORTRANGE(""https://docs.google.com/spreadsheets/d/11923uPwbBZFjjGgGUA6NLw09EwE0CqkOc4q9oUmW1yo/edit?usp=sharing"",""แพร่!J149"")"),15)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IFERROR(__xludf.DUMMYFUNCTION("IMPORTRANGE(""https://docs.google.com/spreadsheets/d/11923uPwbBZFjjGgGUA6NLw09EwE0CqkOc4q9oUmW1yo/edit?usp=sharing"",""แพร่!J151"")"),0)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IFERROR(__xludf.DUMMYFUNCTION("IMPORTRANGE(""https://docs.google.com/spreadsheets/d/11923uPwbBZFjjGgGUA6NLw09EwE0CqkOc4q9oUmW1yo/edit?usp=sharing"",""แพร่!J152"")"),1)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IFERROR(__xludf.DUMMYFUNCTION("IMPORTRANGE(""https://docs.google.com/spreadsheets/d/11923uPwbBZFjjGgGUA6NLw09EwE0CqkOc4q9oUmW1yo/edit?usp=sharing"",""แพร่!J153"")"),1)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IFERROR(__xludf.DUMMYFUNCTION("IMPORTRANGE(""https://docs.google.com/spreadsheets/d/11923uPwbBZFjjGgGUA6NLw09EwE0CqkOc4q9oUmW1yo/edit?usp=sharing"",""แพร่!J154"")"),1)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IFERROR(__xludf.DUMMYFUNCTION("IMPORTRANGE(""https://docs.google.com/spreadsheets/d/11923uPwbBZFjjGgGUA6NLw09EwE0CqkOc4q9oUmW1yo/edit?usp=sharing"",""แพร่!I155"")"),15)</f>
        <v>15</v>
      </c>
      <c r="J235" s="198">
        <f ca="1">IFERROR(__xludf.DUMMYFUNCTION("IMPORTRANGE(""https://docs.google.com/spreadsheets/d/11923uPwbBZFjjGgGUA6NLw09EwE0CqkOc4q9oUmW1yo/edit?usp=sharing"",""แพร่!J155"")"),15)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IFERROR(__xludf.DUMMYFUNCTION("IMPORTRANGE(""https://docs.google.com/spreadsheets/d/11923uPwbBZFjjGgGUA6NLw09EwE0CqkOc4q9oUmW1yo/edit?usp=sharing"",""แพร่!J156"")"),0)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IFERROR(__xludf.DUMMYFUNCTION("IMPORTRANGE(""https://docs.google.com/spreadsheets/d/11923uPwbBZFjjGgGUA6NLw09EwE0CqkOc4q9oUmW1yo/edit?usp=sharing"",""แพร่!J157"")"),0)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IFERROR(__xludf.DUMMYFUNCTION("IMPORTRANGE(""https://docs.google.com/spreadsheets/d/11923uPwbBZFjjGgGUA6NLw09EwE0CqkOc4q9oUmW1yo/edit?usp=sharing"",""แพร่!I158"")"),0)</f>
        <v>0</v>
      </c>
      <c r="J238" s="276">
        <f ca="1">IFERROR(__xludf.DUMMYFUNCTION("IMPORTRANGE(""https://docs.google.com/spreadsheets/d/11923uPwbBZFjjGgGUA6NLw09EwE0CqkOc4q9oUmW1yo/edit?usp=sharing"",""แพร่!J158"")"),0)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IFERROR(__xludf.DUMMYFUNCTION("IMPORTRANGE(""https://docs.google.com/spreadsheets/d/11923uPwbBZFjjGgGUA6NLw09EwE0CqkOc4q9oUmW1yo/edit?usp=sharing"",""แพร่!J159"")"),"")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IFERROR(__xludf.DUMMYFUNCTION("IMPORTRANGE(""https://docs.google.com/spreadsheets/d/11923uPwbBZFjjGgGUA6NLw09EwE0CqkOc4q9oUmW1yo/edit?usp=sharing"",""แพร่!J161"")"),0)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IFERROR(__xludf.DUMMYFUNCTION("IMPORTRANGE(""https://docs.google.com/spreadsheets/d/11923uPwbBZFjjGgGUA6NLw09EwE0CqkOc4q9oUmW1yo/edit?usp=sharing"",""แพร่!J162"")"),0)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IFERROR(__xludf.DUMMYFUNCTION("IMPORTRANGE(""https://docs.google.com/spreadsheets/d/11923uPwbBZFjjGgGUA6NLw09EwE0CqkOc4q9oUmW1yo/edit?usp=sharing"",""แพร่!J163"")"),0)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IFERROR(__xludf.DUMMYFUNCTION("IMPORTRANGE(""https://docs.google.com/spreadsheets/d/11923uPwbBZFjjGgGUA6NLw09EwE0CqkOc4q9oUmW1yo/edit?usp=sharing"",""แพร่!I164"")"),0)</f>
        <v>0</v>
      </c>
      <c r="J244" s="197">
        <f ca="1">IFERROR(__xludf.DUMMYFUNCTION("IMPORTRANGE(""https://docs.google.com/spreadsheets/d/11923uPwbBZFjjGgGUA6NLw09EwE0CqkOc4q9oUmW1yo/edit?usp=sharing"",""แพร่!J164"")"),0)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IFERROR(__xludf.DUMMYFUNCTION("IMPORTRANGE(""https://docs.google.com/spreadsheets/d/11923uPwbBZFjjGgGUA6NLw09EwE0CqkOc4q9oUmW1yo/edit?usp=sharing"",""แพร่!J165"")"),0)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IFERROR(__xludf.DUMMYFUNCTION("IMPORTRANGE(""https://docs.google.com/spreadsheets/d/11923uPwbBZFjjGgGUA6NLw09EwE0CqkOc4q9oUmW1yo/edit?usp=sharing"",""แพร่!J166"")"),0)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IFERROR(__xludf.DUMMYFUNCTION("IMPORTRANGE(""https://docs.google.com/spreadsheets/d/11923uPwbBZFjjGgGUA6NLw09EwE0CqkOc4q9oUmW1yo/edit?usp=sharing"",""แพร่!I169"")"),30)</f>
        <v>30</v>
      </c>
      <c r="J249" s="324">
        <f ca="1">IFERROR(__xludf.DUMMYFUNCTION("IMPORTRANGE(""https://docs.google.com/spreadsheets/d/11923uPwbBZFjjGgGUA6NLw09EwE0CqkOc4q9oUmW1yo/edit?usp=sharing"",""แพร่!J169"")"),0)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217000</v>
      </c>
      <c r="M250" s="158">
        <f t="shared" ca="1" si="77"/>
        <v>113000</v>
      </c>
      <c r="N250" s="158">
        <f t="shared" ca="1" si="77"/>
        <v>61440</v>
      </c>
      <c r="O250" s="157">
        <f t="shared" ref="O250:O252" ca="1" si="78">IF(L250&gt;0,N250*100/L250,0)</f>
        <v>28.313364055299541</v>
      </c>
      <c r="P250" s="157">
        <f t="shared" ref="P250:P252" ca="1" si="79">IF(M250&gt;0,N250*100/M250,0)</f>
        <v>54.371681415929203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217000</v>
      </c>
      <c r="M252" s="163">
        <f t="shared" ca="1" si="81"/>
        <v>113000</v>
      </c>
      <c r="N252" s="163">
        <f t="shared" ca="1" si="81"/>
        <v>61440</v>
      </c>
      <c r="O252" s="162">
        <f t="shared" ca="1" si="78"/>
        <v>28.313364055299541</v>
      </c>
      <c r="P252" s="162">
        <f t="shared" ca="1" si="79"/>
        <v>54.371681415929203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217000</v>
      </c>
      <c r="M254" s="176">
        <f ca="1">IFERROR(__xludf.DUMMYFUNCTION("IMPORTRANGE(""https://docs.google.com/spreadsheets/d/1Yj_ptqi66GCucihVvJfMjLAmec39IyEx_6qawtMGysU/edit?usp=sharing"",""สบก!CB30"")"),113000)</f>
        <v>113000</v>
      </c>
      <c r="N254" s="177">
        <f ca="1">IFERROR(__xludf.DUMMYFUNCTION("IMPORTRANGE(""https://docs.google.com/spreadsheets/d/1Yj_ptqi66GCucihVvJfMjLAmec39IyEx_6qawtMGysU/edit?usp=sharing"",""สบก!CC30"")"),61440)</f>
        <v>61440</v>
      </c>
      <c r="O254" s="178">
        <f ca="1">IF(L254&gt;0,N254*100/L254,0)</f>
        <v>28.313364055299541</v>
      </c>
      <c r="P254" s="178">
        <f ca="1">IF(M254&gt;0,N254*100/M254,0)</f>
        <v>54.371681415929203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IFERROR(__xludf.DUMMYFUNCTION("IMPORTRANGE(""https://docs.google.com/spreadsheets/d/1Yj_ptqi66GCucihVvJfMjLAmec39IyEx_6qawtMGysU/edit?usp=sharing"",""สบก!BX30"")"),0)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IFERROR(__xludf.DUMMYFUNCTION("IMPORTRANGE(""https://docs.google.com/spreadsheets/d/1Yj_ptqi66GCucihVvJfMjLAmec39IyEx_6qawtMGysU/edit?usp=sharing"",""สบก!BY30"")"),217000)</f>
        <v>217000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IFERROR(__xludf.DUMMYFUNCTION("IMPORTRANGE(""https://docs.google.com/spreadsheets/d/1Yj_ptqi66GCucihVvJfMjLAmec39IyEx_6qawtMGysU/edit?usp=sharing"",""สบก!BZ30"")"),0)</f>
        <v>0</v>
      </c>
      <c r="M258" s="103"/>
      <c r="N258" s="93">
        <f ca="1">IFERROR(__xludf.DUMMYFUNCTION("IMPORTRANGE(""https://docs.google.com/spreadsheets/d/1Yj_ptqi66GCucihVvJfMjLAmec39IyEx_6qawtMGysU/edit?usp=sharing"",""สบก!CD30"")"),0)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IFERROR(__xludf.DUMMYFUNCTION("IMPORTRANGE(""https://docs.google.com/spreadsheets/d/11923uPwbBZFjjGgGUA6NLw09EwE0CqkOc4q9oUmW1yo/edit?usp=sharing"",""แพร่!J175"")"),0)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IFERROR(__xludf.DUMMYFUNCTION("IMPORTRANGE(""https://docs.google.com/spreadsheets/d/11923uPwbBZFjjGgGUA6NLw09EwE0CqkOc4q9oUmW1yo/edit?usp=sharing"",""แพร่!J176"")"),1)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IFERROR(__xludf.DUMMYFUNCTION("IMPORTRANGE(""https://docs.google.com/spreadsheets/d/11923uPwbBZFjjGgGUA6NLw09EwE0CqkOc4q9oUmW1yo/edit?usp=sharing"",""แพร่!J177"")"),1)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IFERROR(__xludf.DUMMYFUNCTION("IMPORTRANGE(""https://docs.google.com/spreadsheets/d/11923uPwbBZFjjGgGUA6NLw09EwE0CqkOc4q9oUmW1yo/edit?usp=sharing"",""แพร่!J178"")"),1)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IFERROR(__xludf.DUMMYFUNCTION("IMPORTRANGE(""https://docs.google.com/spreadsheets/d/11923uPwbBZFjjGgGUA6NLw09EwE0CqkOc4q9oUmW1yo/edit?usp=sharing"",""แพร่!I179"")"),1)</f>
        <v>1</v>
      </c>
      <c r="J264" s="198">
        <f ca="1">IFERROR(__xludf.DUMMYFUNCTION("IMPORTRANGE(""https://docs.google.com/spreadsheets/d/11923uPwbBZFjjGgGUA6NLw09EwE0CqkOc4q9oUmW1yo/edit?usp=sharing"",""แพร่!J179"")"),1)</f>
        <v>1</v>
      </c>
      <c r="K264" s="171">
        <f t="shared" ref="K264:K267" ca="1" si="82">IF(I264&gt;0,J264*100/I264,0)</f>
        <v>100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IFERROR(__xludf.DUMMYFUNCTION("IMPORTRANGE(""https://docs.google.com/spreadsheets/d/11923uPwbBZFjjGgGUA6NLw09EwE0CqkOc4q9oUmW1yo/edit?usp=sharing"",""แพร่!I180"")"),30)</f>
        <v>30</v>
      </c>
      <c r="J265" s="198">
        <f ca="1">IFERROR(__xludf.DUMMYFUNCTION("IMPORTRANGE(""https://docs.google.com/spreadsheets/d/11923uPwbBZFjjGgGUA6NLw09EwE0CqkOc4q9oUmW1yo/edit?usp=sharing"",""แพร่!J180"")"),0)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IFERROR(__xludf.DUMMYFUNCTION("IMPORTRANGE(""https://docs.google.com/spreadsheets/d/11923uPwbBZFjjGgGUA6NLw09EwE0CqkOc4q9oUmW1yo/edit?usp=sharing"",""แพร่!I181"")"),30)</f>
        <v>30</v>
      </c>
      <c r="J266" s="198">
        <f ca="1">IFERROR(__xludf.DUMMYFUNCTION("IMPORTRANGE(""https://docs.google.com/spreadsheets/d/11923uPwbBZFjjGgGUA6NLw09EwE0CqkOc4q9oUmW1yo/edit?usp=sharing"",""แพร่!J181"")"),0)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IFERROR(__xludf.DUMMYFUNCTION("IMPORTRANGE(""https://docs.google.com/spreadsheets/d/11923uPwbBZFjjGgGUA6NLw09EwE0CqkOc4q9oUmW1yo/edit?usp=sharing"",""แพร่!I182"")"),1)</f>
        <v>1</v>
      </c>
      <c r="J267" s="198">
        <f ca="1">IFERROR(__xludf.DUMMYFUNCTION("IMPORTRANGE(""https://docs.google.com/spreadsheets/d/11923uPwbBZFjjGgGUA6NLw09EwE0CqkOc4q9oUmW1yo/edit?usp=sharing"",""แพร่!J182"")"),1)</f>
        <v>1</v>
      </c>
      <c r="K267" s="171">
        <f t="shared" ca="1" si="82"/>
        <v>100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IFERROR(__xludf.DUMMYFUNCTION("IMPORTRANGE(""https://docs.google.com/spreadsheets/d/11923uPwbBZFjjGgGUA6NLw09EwE0CqkOc4q9oUmW1yo/edit?usp=sharing"",""แพร่!J183"")"),0)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IFERROR(__xludf.DUMMYFUNCTION("IMPORTRANGE(""https://docs.google.com/spreadsheets/d/11923uPwbBZFjjGgGUA6NLw09EwE0CqkOc4q9oUmW1yo/edit?usp=sharing"",""แพร่!J184"")"),0)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IFERROR(__xludf.DUMMYFUNCTION("IMPORTRANGE(""https://docs.google.com/spreadsheets/d/11923uPwbBZFjjGgGUA6NLw09EwE0CqkOc4q9oUmW1yo/edit?usp=sharing"",""แพร่!I185"")"),20)</f>
        <v>20</v>
      </c>
      <c r="J270" s="324">
        <f ca="1">IFERROR(__xludf.DUMMYFUNCTION("IMPORTRANGE(""https://docs.google.com/spreadsheets/d/11923uPwbBZFjjGgGUA6NLw09EwE0CqkOc4q9oUmW1yo/edit?usp=sharing"",""แพร่!J185"")"),20)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205700</v>
      </c>
      <c r="M271" s="158">
        <f t="shared" ca="1" si="83"/>
        <v>99000</v>
      </c>
      <c r="N271" s="158">
        <f t="shared" ca="1" si="83"/>
        <v>107150</v>
      </c>
      <c r="O271" s="157">
        <f t="shared" ref="O271:O273" ca="1" si="84">IF(L271&gt;0,N271*100/L271,0)</f>
        <v>52.090422946037918</v>
      </c>
      <c r="P271" s="157">
        <f t="shared" ref="P271:P273" ca="1" si="85">IF(M271&gt;0,N271*100/M271,0)</f>
        <v>108.23232323232324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205700</v>
      </c>
      <c r="M273" s="163">
        <f t="shared" ca="1" si="87"/>
        <v>99000</v>
      </c>
      <c r="N273" s="163">
        <f t="shared" ca="1" si="87"/>
        <v>107150</v>
      </c>
      <c r="O273" s="162">
        <f t="shared" ca="1" si="84"/>
        <v>52.090422946037918</v>
      </c>
      <c r="P273" s="162">
        <f t="shared" ca="1" si="85"/>
        <v>108.23232323232324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205700</v>
      </c>
      <c r="M275" s="176">
        <f ca="1">IFERROR(__xludf.DUMMYFUNCTION("IMPORTRANGE(""https://docs.google.com/spreadsheets/d/1Yj_ptqi66GCucihVvJfMjLAmec39IyEx_6qawtMGysU/edit?usp=sharing"",""สบก!CK30"")"),99000)</f>
        <v>99000</v>
      </c>
      <c r="N275" s="177">
        <f ca="1">IFERROR(__xludf.DUMMYFUNCTION("IMPORTRANGE(""https://docs.google.com/spreadsheets/d/1Yj_ptqi66GCucihVvJfMjLAmec39IyEx_6qawtMGysU/edit?usp=sharing"",""สบก!CL30"")"),107150)</f>
        <v>107150</v>
      </c>
      <c r="O275" s="178">
        <f ca="1">IF(L275&gt;0,N275*100/L275,0)</f>
        <v>52.090422946037918</v>
      </c>
      <c r="P275" s="178">
        <f ca="1">IF(M275&gt;0,N275*100/M275,0)</f>
        <v>108.23232323232324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IFERROR(__xludf.DUMMYFUNCTION("IMPORTRANGE(""https://docs.google.com/spreadsheets/d/1Yj_ptqi66GCucihVvJfMjLAmec39IyEx_6qawtMGysU/edit?usp=sharing"",""สบก!CG30"")"),132000)</f>
        <v>132000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IFERROR(__xludf.DUMMYFUNCTION("IMPORTRANGE(""https://docs.google.com/spreadsheets/d/1Yj_ptqi66GCucihVvJfMjLAmec39IyEx_6qawtMGysU/edit?usp=sharing"",""สบก!CH30"")"),73700)</f>
        <v>73700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IFERROR(__xludf.DUMMYFUNCTION("IMPORTRANGE(""https://docs.google.com/spreadsheets/d/1Yj_ptqi66GCucihVvJfMjLAmec39IyEx_6qawtMGysU/edit?usp=sharing"",""สบก!CI30"")"),0)</f>
        <v>0</v>
      </c>
      <c r="M279" s="103"/>
      <c r="N279" s="93">
        <f ca="1">IFERROR(__xludf.DUMMYFUNCTION("IMPORTRANGE(""https://docs.google.com/spreadsheets/d/1Yj_ptqi66GCucihVvJfMjLAmec39IyEx_6qawtMGysU/edit?usp=sharing"",""สบก!CM30"")"),0)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IFERROR(__xludf.DUMMYFUNCTION("IMPORTRANGE(""https://docs.google.com/spreadsheets/d/11923uPwbBZFjjGgGUA6NLw09EwE0CqkOc4q9oUmW1yo/edit?usp=sharing"",""แพร่!J191"")"),0)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IFERROR(__xludf.DUMMYFUNCTION("IMPORTRANGE(""https://docs.google.com/spreadsheets/d/11923uPwbBZFjjGgGUA6NLw09EwE0CqkOc4q9oUmW1yo/edit?usp=sharing"",""แพร่!J192"")"),1)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IFERROR(__xludf.DUMMYFUNCTION("IMPORTRANGE(""https://docs.google.com/spreadsheets/d/11923uPwbBZFjjGgGUA6NLw09EwE0CqkOc4q9oUmW1yo/edit?usp=sharing"",""แพร่!J193"")"),1)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IFERROR(__xludf.DUMMYFUNCTION("IMPORTRANGE(""https://docs.google.com/spreadsheets/d/11923uPwbBZFjjGgGUA6NLw09EwE0CqkOc4q9oUmW1yo/edit?usp=sharing"",""แพร่!J194"")"),1)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IFERROR(__xludf.DUMMYFUNCTION("IMPORTRANGE(""https://docs.google.com/spreadsheets/d/11923uPwbBZFjjGgGUA6NLw09EwE0CqkOc4q9oUmW1yo/edit?usp=sharing"",""แพร่!I195"")"),20)</f>
        <v>20</v>
      </c>
      <c r="J285" s="198">
        <f ca="1">IFERROR(__xludf.DUMMYFUNCTION("IMPORTRANGE(""https://docs.google.com/spreadsheets/d/11923uPwbBZFjjGgGUA6NLw09EwE0CqkOc4q9oUmW1yo/edit?usp=sharing"",""แพร่!J195"")"),20)</f>
        <v>20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IFERROR(__xludf.DUMMYFUNCTION("IMPORTRANGE(""https://docs.google.com/spreadsheets/d/11923uPwbBZFjjGgGUA6NLw09EwE0CqkOc4q9oUmW1yo/edit?usp=sharing"",""แพร่!J196"")"),0)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IFERROR(__xludf.DUMMYFUNCTION("IMPORTRANGE(""https://docs.google.com/spreadsheets/d/11923uPwbBZFjjGgGUA6NLw09EwE0CqkOc4q9oUmW1yo/edit?usp=sharing"",""แพร่!J197"")"),0)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IFERROR(__xludf.DUMMYFUNCTION("IMPORTRANGE(""https://docs.google.com/spreadsheets/d/11923uPwbBZFjjGgGUA6NLw09EwE0CqkOc4q9oUmW1yo/edit?usp=sharing"",""แพร่!I199"")"),0)</f>
        <v>0</v>
      </c>
      <c r="J289" s="324">
        <f ca="1">IFERROR(__xludf.DUMMYFUNCTION("IMPORTRANGE(""https://docs.google.com/spreadsheets/d/11923uPwbBZFjjGgGUA6NLw09EwE0CqkOc4q9oUmW1yo/edit?usp=sharing"",""แพร่!J199"")"),0)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IFERROR(__xludf.DUMMYFUNCTION("IMPORTRANGE(""https://docs.google.com/spreadsheets/d/1Yj_ptqi66GCucihVvJfMjLAmec39IyEx_6qawtMGysU/edit?usp=sharing"",""สบก!CT30"")"),0)</f>
        <v>0</v>
      </c>
      <c r="N294" s="177">
        <f ca="1">IFERROR(__xludf.DUMMYFUNCTION("IMPORTRANGE(""https://docs.google.com/spreadsheets/d/1Yj_ptqi66GCucihVvJfMjLAmec39IyEx_6qawtMGysU/edit?usp=sharing"",""สบก!CU30"")"),0)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IFERROR(__xludf.DUMMYFUNCTION("IMPORTRANGE(""https://docs.google.com/spreadsheets/d/1Yj_ptqi66GCucihVvJfMjLAmec39IyEx_6qawtMGysU/edit?usp=sharing"",""สบก!CP30"")"),0)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IFERROR(__xludf.DUMMYFUNCTION("IMPORTRANGE(""https://docs.google.com/spreadsheets/d/1Yj_ptqi66GCucihVvJfMjLAmec39IyEx_6qawtMGysU/edit?usp=sharing"",""สบก!CQ30"")"),0)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IFERROR(__xludf.DUMMYFUNCTION("IMPORTRANGE(""https://docs.google.com/spreadsheets/d/1Yj_ptqi66GCucihVvJfMjLAmec39IyEx_6qawtMGysU/edit?usp=sharing"",""สบก!CR30"")"),0)</f>
        <v>0</v>
      </c>
      <c r="M298" s="103"/>
      <c r="N298" s="93">
        <f ca="1">IFERROR(__xludf.DUMMYFUNCTION("IMPORTRANGE(""https://docs.google.com/spreadsheets/d/1Yj_ptqi66GCucihVvJfMjLAmec39IyEx_6qawtMGysU/edit?usp=sharing"",""สบก!CV30"")"),0)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IFERROR(__xludf.DUMMYFUNCTION("IMPORTRANGE(""https://docs.google.com/spreadsheets/d/11923uPwbBZFjjGgGUA6NLw09EwE0CqkOc4q9oUmW1yo/edit?usp=sharing"",""แพร่!J205"")"),0)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IFERROR(__xludf.DUMMYFUNCTION("IMPORTRANGE(""https://docs.google.com/spreadsheets/d/11923uPwbBZFjjGgGUA6NLw09EwE0CqkOc4q9oUmW1yo/edit?usp=sharing"",""แพร่!J206"")"),0)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IFERROR(__xludf.DUMMYFUNCTION("IMPORTRANGE(""https://docs.google.com/spreadsheets/d/11923uPwbBZFjjGgGUA6NLw09EwE0CqkOc4q9oUmW1yo/edit?usp=sharing"",""แพร่!J207"")"),0)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IFERROR(__xludf.DUMMYFUNCTION("IMPORTRANGE(""https://docs.google.com/spreadsheets/d/11923uPwbBZFjjGgGUA6NLw09EwE0CqkOc4q9oUmW1yo/edit?usp=sharing"",""แพร่!J208"")"),0)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IFERROR(__xludf.DUMMYFUNCTION("IMPORTRANGE(""https://docs.google.com/spreadsheets/d/11923uPwbBZFjjGgGUA6NLw09EwE0CqkOc4q9oUmW1yo/edit?usp=sharing"",""แพร่!I209"")"),0)</f>
        <v>0</v>
      </c>
      <c r="J304" s="213">
        <f ca="1">IFERROR(__xludf.DUMMYFUNCTION("IMPORTRANGE(""https://docs.google.com/spreadsheets/d/11923uPwbBZFjjGgGUA6NLw09EwE0CqkOc4q9oUmW1yo/edit?usp=sharing"",""แพร่!J209"")"),0)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IFERROR(__xludf.DUMMYFUNCTION("IMPORTRANGE(""https://docs.google.com/spreadsheets/d/11923uPwbBZFjjGgGUA6NLw09EwE0CqkOc4q9oUmW1yo/edit?usp=sharing"",""แพร่!I211"")"),0)</f>
        <v>0</v>
      </c>
      <c r="J306" s="213">
        <f ca="1">IFERROR(__xludf.DUMMYFUNCTION("IMPORTRANGE(""https://docs.google.com/spreadsheets/d/11923uPwbBZFjjGgGUA6NLw09EwE0CqkOc4q9oUmW1yo/edit?usp=sharing"",""แพร่!J211"")"),0)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IFERROR(__xludf.DUMMYFUNCTION("IMPORTRANGE(""https://docs.google.com/spreadsheets/d/11923uPwbBZFjjGgGUA6NLw09EwE0CqkOc4q9oUmW1yo/edit?usp=sharing"",""แพร่!J212"")"),0)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IFERROR(__xludf.DUMMYFUNCTION("IMPORTRANGE(""https://docs.google.com/spreadsheets/d/11923uPwbBZFjjGgGUA6NLw09EwE0CqkOc4q9oUmW1yo/edit?usp=sharing"",""แพร่!J213"")"),0)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IFERROR(__xludf.DUMMYFUNCTION("IMPORTRANGE(""https://docs.google.com/spreadsheets/d/11923uPwbBZFjjGgGUA6NLw09EwE0CqkOc4q9oUmW1yo/edit?usp=sharing"",""แพร่!I214"")"),0)</f>
        <v>0</v>
      </c>
      <c r="J309" s="341">
        <f ca="1">IFERROR(__xludf.DUMMYFUNCTION("IMPORTRANGE(""https://docs.google.com/spreadsheets/d/11923uPwbBZFjjGgGUA6NLw09EwE0CqkOc4q9oUmW1yo/edit?usp=sharing"",""แพร่!J214"")"),0)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IFERROR(__xludf.DUMMYFUNCTION("IMPORTRANGE(""https://docs.google.com/spreadsheets/d/1Yj_ptqi66GCucihVvJfMjLAmec39IyEx_6qawtMGysU/edit?usp=sharing"",""สบก!DC30"")"),0)</f>
        <v>0</v>
      </c>
      <c r="N314" s="177">
        <f ca="1">IFERROR(__xludf.DUMMYFUNCTION("IMPORTRANGE(""https://docs.google.com/spreadsheets/d/1Yj_ptqi66GCucihVvJfMjLAmec39IyEx_6qawtMGysU/edit?usp=sharing"",""สบก!DD30"")"),0)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IFERROR(__xludf.DUMMYFUNCTION("IMPORTRANGE(""https://docs.google.com/spreadsheets/d/1Yj_ptqi66GCucihVvJfMjLAmec39IyEx_6qawtMGysU/edit?usp=sharing"",""สบก!CY30"")"),0)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IFERROR(__xludf.DUMMYFUNCTION("IMPORTRANGE(""https://docs.google.com/spreadsheets/d/1Yj_ptqi66GCucihVvJfMjLAmec39IyEx_6qawtMGysU/edit?usp=sharing"",""สบก!CZ30"")"),0)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IFERROR(__xludf.DUMMYFUNCTION("IMPORTRANGE(""https://docs.google.com/spreadsheets/d/1Yj_ptqi66GCucihVvJfMjLAmec39IyEx_6qawtMGysU/edit?usp=sharing"",""สบก!DA30"")"),0)</f>
        <v>0</v>
      </c>
      <c r="M318" s="103"/>
      <c r="N318" s="93">
        <f ca="1">IFERROR(__xludf.DUMMYFUNCTION("IMPORTRANGE(""https://docs.google.com/spreadsheets/d/1Yj_ptqi66GCucihVvJfMjLAmec39IyEx_6qawtMGysU/edit?usp=sharing"",""สบก!DE30"")"),0)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IFERROR(__xludf.DUMMYFUNCTION("IMPORTRANGE(""https://docs.google.com/spreadsheets/d/11923uPwbBZFjjGgGUA6NLw09EwE0CqkOc4q9oUmW1yo/edit?usp=sharing"",""แพร่!J220"")"),0)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IFERROR(__xludf.DUMMYFUNCTION("IMPORTRANGE(""https://docs.google.com/spreadsheets/d/11923uPwbBZFjjGgGUA6NLw09EwE0CqkOc4q9oUmW1yo/edit?usp=sharing"",""แพร่!J221"")"),0)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IFERROR(__xludf.DUMMYFUNCTION("IMPORTRANGE(""https://docs.google.com/spreadsheets/d/11923uPwbBZFjjGgGUA6NLw09EwE0CqkOc4q9oUmW1yo/edit?usp=sharing"",""แพร่!J222"")"),0)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IFERROR(__xludf.DUMMYFUNCTION("IMPORTRANGE(""https://docs.google.com/spreadsheets/d/11923uPwbBZFjjGgGUA6NLw09EwE0CqkOc4q9oUmW1yo/edit?usp=sharing"",""แพร่!J223"")"),0)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IFERROR(__xludf.DUMMYFUNCTION("IMPORTRANGE(""https://docs.google.com/spreadsheets/d/11923uPwbBZFjjGgGUA6NLw09EwE0CqkOc4q9oUmW1yo/edit?usp=sharing"",""แพร่!I224"")"),0)</f>
        <v>0</v>
      </c>
      <c r="J324" s="213">
        <f ca="1">IFERROR(__xludf.DUMMYFUNCTION("IMPORTRANGE(""https://docs.google.com/spreadsheets/d/11923uPwbBZFjjGgGUA6NLw09EwE0CqkOc4q9oUmW1yo/edit?usp=sharing"",""แพร่!J224"")"),0)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IFERROR(__xludf.DUMMYFUNCTION("IMPORTRANGE(""https://docs.google.com/spreadsheets/d/11923uPwbBZFjjGgGUA6NLw09EwE0CqkOc4q9oUmW1yo/edit?usp=sharing"",""แพร่!J225"")"),0)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IFERROR(__xludf.DUMMYFUNCTION("IMPORTRANGE(""https://docs.google.com/spreadsheets/d/11923uPwbBZFjjGgGUA6NLw09EwE0CqkOc4q9oUmW1yo/edit?usp=sharing"",""แพร่!J226"")"),0)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IFERROR(__xludf.DUMMYFUNCTION("IMPORTRANGE(""https://docs.google.com/spreadsheets/d/11923uPwbBZFjjGgGUA6NLw09EwE0CqkOc4q9oUmW1yo/edit?usp=sharing"",""แพร่!I228"")"),360)</f>
        <v>360</v>
      </c>
      <c r="J328" s="347">
        <f ca="1">IFERROR(__xludf.DUMMYFUNCTION("IMPORTRANGE(""https://docs.google.com/spreadsheets/d/11923uPwbBZFjjGgGUA6NLw09EwE0CqkOc4q9oUmW1yo/edit?usp=sharing"",""แพร่!J228"")"),207)</f>
        <v>207</v>
      </c>
      <c r="K328" s="325">
        <f ca="1">IF(I328&gt;0,J328*100/I328,0)</f>
        <v>57.5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833180</v>
      </c>
      <c r="M329" s="158">
        <f t="shared" ca="1" si="98"/>
        <v>437000</v>
      </c>
      <c r="N329" s="158">
        <f t="shared" ca="1" si="98"/>
        <v>383319</v>
      </c>
      <c r="O329" s="157">
        <f t="shared" ref="O329:O331" ca="1" si="99">IF(L329&gt;0,N329*100/L329,0)</f>
        <v>46.006745241124364</v>
      </c>
      <c r="P329" s="157">
        <f t="shared" ref="P329:P331" ca="1" si="100">IF(M329&gt;0,N329*100/M329,0)</f>
        <v>87.716018306636158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833180</v>
      </c>
      <c r="M331" s="163">
        <f t="shared" ca="1" si="102"/>
        <v>437000</v>
      </c>
      <c r="N331" s="163">
        <f t="shared" ca="1" si="102"/>
        <v>383319</v>
      </c>
      <c r="O331" s="162">
        <f t="shared" ca="1" si="99"/>
        <v>46.006745241124364</v>
      </c>
      <c r="P331" s="162">
        <f t="shared" ca="1" si="100"/>
        <v>87.716018306636158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823180</v>
      </c>
      <c r="M333" s="176">
        <f ca="1">IFERROR(__xludf.DUMMYFUNCTION("IMPORTRANGE(""https://docs.google.com/spreadsheets/d/1Yj_ptqi66GCucihVvJfMjLAmec39IyEx_6qawtMGysU/edit?usp=sharing"",""สบก!DL30"")"),437000)</f>
        <v>437000</v>
      </c>
      <c r="N333" s="177">
        <f ca="1">IFERROR(__xludf.DUMMYFUNCTION("IMPORTRANGE(""https://docs.google.com/spreadsheets/d/1Yj_ptqi66GCucihVvJfMjLAmec39IyEx_6qawtMGysU/edit?usp=sharing"",""สบก!DM30"")"),373319)</f>
        <v>373319</v>
      </c>
      <c r="O333" s="178">
        <f ca="1">IF(L333&gt;0,N333*100/L333,0)</f>
        <v>45.350834568381153</v>
      </c>
      <c r="P333" s="178">
        <f ca="1">IF(M333&gt;0,N333*100/M333,0)</f>
        <v>85.42768878718536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IFERROR(__xludf.DUMMYFUNCTION("IMPORTRANGE(""https://docs.google.com/spreadsheets/d/1Yj_ptqi66GCucihVvJfMjLAmec39IyEx_6qawtMGysU/edit?usp=sharing"",""สบก!DH30"")"),491200)</f>
        <v>491200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IFERROR(__xludf.DUMMYFUNCTION("IMPORTRANGE(""https://docs.google.com/spreadsheets/d/1Yj_ptqi66GCucihVvJfMjLAmec39IyEx_6qawtMGysU/edit?usp=sharing"",""สบก!DI30"")"),331980)</f>
        <v>331980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IFERROR(__xludf.DUMMYFUNCTION("IMPORTRANGE(""https://docs.google.com/spreadsheets/d/1Yj_ptqi66GCucihVvJfMjLAmec39IyEx_6qawtMGysU/edit?usp=sharing"",""สบก!DJ30"")"),10000)</f>
        <v>10000</v>
      </c>
      <c r="M337" s="103"/>
      <c r="N337" s="93">
        <f ca="1">IFERROR(__xludf.DUMMYFUNCTION("IMPORTRANGE(""https://docs.google.com/spreadsheets/d/1Yj_ptqi66GCucihVvJfMjLAmec39IyEx_6qawtMGysU/edit?usp=sharing"",""สบก!DN30"")"),10000)</f>
        <v>10000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IFERROR(__xludf.DUMMYFUNCTION("IMPORTRANGE(""https://docs.google.com/spreadsheets/d/11923uPwbBZFjjGgGUA6NLw09EwE0CqkOc4q9oUmW1yo/edit?usp=sharing"",""แพร่!I234"")"),0)</f>
        <v>0</v>
      </c>
      <c r="J339" s="197">
        <f ca="1">IFERROR(__xludf.DUMMYFUNCTION("IMPORTRANGE(""https://docs.google.com/spreadsheets/d/11923uPwbBZFjjGgGUA6NLw09EwE0CqkOc4q9oUmW1yo/edit?usp=sharing"",""แพร่!J234"")"),95)</f>
        <v>95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IFERROR(__xludf.DUMMYFUNCTION("IMPORTRANGE(""https://docs.google.com/spreadsheets/d/11923uPwbBZFjjGgGUA6NLw09EwE0CqkOc4q9oUmW1yo/edit?usp=sharing"",""แพร่!I235"")"),1300)</f>
        <v>1300</v>
      </c>
      <c r="J340" s="197">
        <f ca="1">IFERROR(__xludf.DUMMYFUNCTION("IMPORTRANGE(""https://docs.google.com/spreadsheets/d/11923uPwbBZFjjGgGUA6NLw09EwE0CqkOc4q9oUmW1yo/edit?usp=sharing"",""แพร่!J235"")"),704.369999999999)</f>
        <v>704.36999999999898</v>
      </c>
      <c r="K340" s="350">
        <f t="shared" ca="1" si="103"/>
        <v>54.182307692307617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IFERROR(__xludf.DUMMYFUNCTION("IMPORTRANGE(""https://docs.google.com/spreadsheets/d/11923uPwbBZFjjGgGUA6NLw09EwE0CqkOc4q9oUmW1yo/edit?usp=sharing"",""แพร่!I236"")"),360)</f>
        <v>360</v>
      </c>
      <c r="J341" s="197">
        <f ca="1">IFERROR(__xludf.DUMMYFUNCTION("IMPORTRANGE(""https://docs.google.com/spreadsheets/d/11923uPwbBZFjjGgGUA6NLw09EwE0CqkOc4q9oUmW1yo/edit?usp=sharing"",""แพร่!J236"")"),255)</f>
        <v>255</v>
      </c>
      <c r="K341" s="350">
        <f t="shared" ca="1" si="103"/>
        <v>70.833333333333329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IFERROR(__xludf.DUMMYFUNCTION("IMPORTRANGE(""https://docs.google.com/spreadsheets/d/11923uPwbBZFjjGgGUA6NLw09EwE0CqkOc4q9oUmW1yo/edit?usp=sharing"",""แพร่!I237"")"),0)</f>
        <v>0</v>
      </c>
      <c r="J342" s="197">
        <f ca="1">IFERROR(__xludf.DUMMYFUNCTION("IMPORTRANGE(""https://docs.google.com/spreadsheets/d/11923uPwbBZFjjGgGUA6NLw09EwE0CqkOc4q9oUmW1yo/edit?usp=sharing"",""แพร่!J237"")"),2184.34)</f>
        <v>2184.34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IFERROR(__xludf.DUMMYFUNCTION("IMPORTRANGE(""https://docs.google.com/spreadsheets/d/11923uPwbBZFjjGgGUA6NLw09EwE0CqkOc4q9oUmW1yo/edit?usp=sharing"",""แพร่!I238"")"),360)</f>
        <v>360</v>
      </c>
      <c r="J343" s="197">
        <f ca="1">IFERROR(__xludf.DUMMYFUNCTION("IMPORTRANGE(""https://docs.google.com/spreadsheets/d/11923uPwbBZFjjGgGUA6NLw09EwE0CqkOc4q9oUmW1yo/edit?usp=sharing"",""แพร่!J238"")"),0)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IFERROR(__xludf.DUMMYFUNCTION("IMPORTRANGE(""https://docs.google.com/spreadsheets/d/11923uPwbBZFjjGgGUA6NLw09EwE0CqkOc4q9oUmW1yo/edit?usp=sharing"",""แพร่!I239"")"),0)</f>
        <v>0</v>
      </c>
      <c r="J344" s="197">
        <f ca="1">IFERROR(__xludf.DUMMYFUNCTION("IMPORTRANGE(""https://docs.google.com/spreadsheets/d/11923uPwbBZFjjGgGUA6NLw09EwE0CqkOc4q9oUmW1yo/edit?usp=sharing"",""แพร่!J239"")"),0)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IFERROR(__xludf.DUMMYFUNCTION("IMPORTRANGE(""https://docs.google.com/spreadsheets/d/11923uPwbBZFjjGgGUA6NLw09EwE0CqkOc4q9oUmW1yo/edit?usp=sharing"",""แพร่!I240"")"),360)</f>
        <v>360</v>
      </c>
      <c r="J345" s="197">
        <f ca="1">IFERROR(__xludf.DUMMYFUNCTION("IMPORTRANGE(""https://docs.google.com/spreadsheets/d/11923uPwbBZFjjGgGUA6NLw09EwE0CqkOc4q9oUmW1yo/edit?usp=sharing"",""แพร่!J240"")"),207)</f>
        <v>207</v>
      </c>
      <c r="K345" s="350">
        <f t="shared" ca="1" si="103"/>
        <v>57.5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IFERROR(__xludf.DUMMYFUNCTION("IMPORTRANGE(""https://docs.google.com/spreadsheets/d/11923uPwbBZFjjGgGUA6NLw09EwE0CqkOc4q9oUmW1yo/edit?usp=sharing"",""แพร่!I241"")"),0)</f>
        <v>0</v>
      </c>
      <c r="J346" s="197">
        <f ca="1">IFERROR(__xludf.DUMMYFUNCTION("IMPORTRANGE(""https://docs.google.com/spreadsheets/d/11923uPwbBZFjjGgGUA6NLw09EwE0CqkOc4q9oUmW1yo/edit?usp=sharing"",""แพร่!J241"")"),1841.71)</f>
        <v>1841.71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IFERROR(__xludf.DUMMYFUNCTION("IMPORTRANGE(""https://docs.google.com/spreadsheets/d/11923uPwbBZFjjGgGUA6NLw09EwE0CqkOc4q9oUmW1yo/edit?usp=sharing"",""แพร่!L242"")"),1858960)</f>
        <v>1858960</v>
      </c>
      <c r="M347" s="366"/>
      <c r="N347" s="366">
        <f ca="1">IFERROR(__xludf.DUMMYFUNCTION("IMPORTRANGE(""https://docs.google.com/spreadsheets/d/11923uPwbBZFjjGgGUA6NLw09EwE0CqkOc4q9oUmW1yo/edit?usp=sharing"",""แพร่!M242"")"),381805)</f>
        <v>381805</v>
      </c>
      <c r="O347" s="366">
        <f ca="1">+IF(L347&gt;0,N347*100/L347,0)</f>
        <v>20.5386345053148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IFERROR(__xludf.DUMMYFUNCTION("IMPORTRANGE(""https://docs.google.com/spreadsheets/d/11923uPwbBZFjjGgGUA6NLw09EwE0CqkOc4q9oUmW1yo/edit?usp=sharing"",""แพร่!I244"")"),90)</f>
        <v>90</v>
      </c>
      <c r="J349" s="379">
        <f ca="1">IFERROR(__xludf.DUMMYFUNCTION("IMPORTRANGE(""https://docs.google.com/spreadsheets/d/11923uPwbBZFjjGgGUA6NLw09EwE0CqkOc4q9oUmW1yo/edit?usp=sharing"",""แพร่!J244"")"),90)</f>
        <v>90</v>
      </c>
      <c r="K349" s="380">
        <f t="shared" ref="K349:K350" ca="1" si="104">IF(I349&gt;0,J349*100/I349,0)</f>
        <v>100</v>
      </c>
      <c r="L349" s="381">
        <f ca="1">IFERROR(__xludf.DUMMYFUNCTION("IMPORTRANGE(""https://docs.google.com/spreadsheets/d/11923uPwbBZFjjGgGUA6NLw09EwE0CqkOc4q9oUmW1yo/edit?usp=sharing"",""แพร่!L244"")"),348030)</f>
        <v>348030</v>
      </c>
      <c r="M349" s="381"/>
      <c r="N349" s="381">
        <f ca="1">IFERROR(__xludf.DUMMYFUNCTION("IMPORTRANGE(""https://docs.google.com/spreadsheets/d/11923uPwbBZFjjGgGUA6NLw09EwE0CqkOc4q9oUmW1yo/edit?usp=sharing"",""แพร่!M244"")"),89980)</f>
        <v>89980</v>
      </c>
      <c r="O349" s="381">
        <f ca="1">+IF(L349&gt;0,N349*100/L349,0)</f>
        <v>25.854093037956499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IFERROR(__xludf.DUMMYFUNCTION("IMPORTRANGE(""https://docs.google.com/spreadsheets/d/11923uPwbBZFjjGgGUA6NLw09EwE0CqkOc4q9oUmW1yo/edit?usp=sharing"",""แพร่!I245"")"),55)</f>
        <v>55</v>
      </c>
      <c r="J350" s="379">
        <f ca="1">IFERROR(__xludf.DUMMYFUNCTION("IMPORTRANGE(""https://docs.google.com/spreadsheets/d/11923uPwbBZFjjGgGUA6NLw09EwE0CqkOc4q9oUmW1yo/edit?usp=sharing"",""แพร่!J245"")"),0)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IFERROR(__xludf.DUMMYFUNCTION("IMPORTRANGE(""https://docs.google.com/spreadsheets/d/11923uPwbBZFjjGgGUA6NLw09EwE0CqkOc4q9oUmW1yo/edit?usp=sharing"",""แพร่!L246"")"),0)</f>
        <v>0</v>
      </c>
      <c r="M351" s="172"/>
      <c r="N351" s="172">
        <f ca="1">IFERROR(__xludf.DUMMYFUNCTION("IMPORTRANGE(""https://docs.google.com/spreadsheets/d/11923uPwbBZFjjGgGUA6NLw09EwE0CqkOc4q9oUmW1yo/edit?usp=sharing"",""แพร่!M246"")"),0)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IFERROR(__xludf.DUMMYFUNCTION("IMPORTRANGE(""https://docs.google.com/spreadsheets/d/11923uPwbBZFjjGgGUA6NLw09EwE0CqkOc4q9oUmW1yo/edit?usp=sharing"",""แพร่!L247"")"),348030)</f>
        <v>348030</v>
      </c>
      <c r="M352" s="173"/>
      <c r="N352" s="172">
        <f ca="1">IFERROR(__xludf.DUMMYFUNCTION("IMPORTRANGE(""https://docs.google.com/spreadsheets/d/11923uPwbBZFjjGgGUA6NLw09EwE0CqkOc4q9oUmW1yo/edit?usp=sharing"",""แพร่!M247"")"),89980)</f>
        <v>89980</v>
      </c>
      <c r="O352" s="173">
        <f t="shared" ca="1" si="105"/>
        <v>25.854093037956499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IFERROR(__xludf.DUMMYFUNCTION("IMPORTRANGE(""https://docs.google.com/spreadsheets/d/11923uPwbBZFjjGgGUA6NLw09EwE0CqkOc4q9oUmW1yo/edit?usp=sharing"",""แพร่!L248"")"),0)</f>
        <v>0</v>
      </c>
      <c r="M353" s="178"/>
      <c r="N353" s="178">
        <f ca="1">IFERROR(__xludf.DUMMYFUNCTION("IMPORTRANGE(""https://docs.google.com/spreadsheets/d/11923uPwbBZFjjGgGUA6NLw09EwE0CqkOc4q9oUmW1yo/edit?usp=sharing"",""แพร่!M248"")"),0)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IFERROR(__xludf.DUMMYFUNCTION("IMPORTRANGE(""https://docs.google.com/spreadsheets/d/11923uPwbBZFjjGgGUA6NLw09EwE0CqkOc4q9oUmW1yo/edit?usp=sharing"",""แพร่!L249"")"),348030)</f>
        <v>348030</v>
      </c>
      <c r="M354" s="178"/>
      <c r="N354" s="175">
        <f ca="1">IFERROR(__xludf.DUMMYFUNCTION("IMPORTRANGE(""https://docs.google.com/spreadsheets/d/11923uPwbBZFjjGgGUA6NLw09EwE0CqkOc4q9oUmW1yo/edit?usp=sharing"",""แพร่!M249"")"),89980)</f>
        <v>89980</v>
      </c>
      <c r="O354" s="178">
        <f t="shared" ca="1" si="105"/>
        <v>25.854093037956499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IFERROR(__xludf.DUMMYFUNCTION("IMPORTRANGE(""https://docs.google.com/spreadsheets/d/11923uPwbBZFjjGgGUA6NLw09EwE0CqkOc4q9oUmW1yo/edit?usp=sharing"",""แพร่!M250"")"),51355)</f>
        <v>51355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IFERROR(__xludf.DUMMYFUNCTION("IMPORTRANGE(""https://docs.google.com/spreadsheets/d/11923uPwbBZFjjGgGUA6NLw09EwE0CqkOc4q9oUmW1yo/edit?usp=sharing"",""แพร่!M251"")"),0)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IFERROR(__xludf.DUMMYFUNCTION("IMPORTRANGE(""https://docs.google.com/spreadsheets/d/11923uPwbBZFjjGgGUA6NLw09EwE0CqkOc4q9oUmW1yo/edit?usp=sharing"",""แพร่!M252"")"),33000)</f>
        <v>33000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IFERROR(__xludf.DUMMYFUNCTION("IMPORTRANGE(""https://docs.google.com/spreadsheets/d/11923uPwbBZFjjGgGUA6NLw09EwE0CqkOc4q9oUmW1yo/edit?usp=sharing"",""แพร่!M253"")"),5625)</f>
        <v>5625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IFERROR(__xludf.DUMMYFUNCTION("IMPORTRANGE(""https://docs.google.com/spreadsheets/d/11923uPwbBZFjjGgGUA6NLw09EwE0CqkOc4q9oUmW1yo/edit?usp=sharing"",""แพร่!J255"")"),0)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IFERROR(__xludf.DUMMYFUNCTION("IMPORTRANGE(""https://docs.google.com/spreadsheets/d/11923uPwbBZFjjGgGUA6NLw09EwE0CqkOc4q9oUmW1yo/edit?usp=sharing"",""แพร่!J256"")"),1)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IFERROR(__xludf.DUMMYFUNCTION("IMPORTRANGE(""https://docs.google.com/spreadsheets/d/11923uPwbBZFjjGgGUA6NLw09EwE0CqkOc4q9oUmW1yo/edit?usp=sharing"",""แพร่!J257"")"),1)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IFERROR(__xludf.DUMMYFUNCTION("IMPORTRANGE(""https://docs.google.com/spreadsheets/d/11923uPwbBZFjjGgGUA6NLw09EwE0CqkOc4q9oUmW1yo/edit?usp=sharing"",""แพร่!J258"")"),1)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IFERROR(__xludf.DUMMYFUNCTION("IMPORTRANGE(""https://docs.google.com/spreadsheets/d/11923uPwbBZFjjGgGUA6NLw09EwE0CqkOc4q9oUmW1yo/edit?usp=sharing"",""แพร่!J166"")"),0)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IFERROR(__xludf.DUMMYFUNCTION("IMPORTRANGE(""https://docs.google.com/spreadsheets/d/11923uPwbBZFjjGgGUA6NLw09EwE0CqkOc4q9oUmW1yo/edit?usp=sharing"",""แพร่!J166"")"),0)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IFERROR(__xludf.DUMMYFUNCTION("IMPORTRANGE(""https://docs.google.com/spreadsheets/d/11923uPwbBZFjjGgGUA6NLw09EwE0CqkOc4q9oUmW1yo/edit?usp=sharing"",""แพร่!J166"")"),0)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IFERROR(__xludf.DUMMYFUNCTION("IMPORTRANGE(""https://docs.google.com/spreadsheets/d/11923uPwbBZFjjGgGUA6NLw09EwE0CqkOc4q9oUmW1yo/edit?usp=sharing"",""แพร่!J166"")"),0)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IFERROR(__xludf.DUMMYFUNCTION("IMPORTRANGE(""https://docs.google.com/spreadsheets/d/11923uPwbBZFjjGgGUA6NLw09EwE0CqkOc4q9oUmW1yo/edit?usp=sharing"",""แพร่!I263"")"),55)</f>
        <v>55</v>
      </c>
      <c r="J368" s="197">
        <f ca="1">IFERROR(__xludf.DUMMYFUNCTION("IMPORTRANGE(""https://docs.google.com/spreadsheets/d/11923uPwbBZFjjGgGUA6NLw09EwE0CqkOc4q9oUmW1yo/edit?usp=sharing"",""แพร่!J263"")"),0)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IFERROR(__xludf.DUMMYFUNCTION("IMPORTRANGE(""https://docs.google.com/spreadsheets/d/11923uPwbBZFjjGgGUA6NLw09EwE0CqkOc4q9oUmW1yo/edit?usp=sharing"",""แพร่!I164"")"),0)</f>
        <v>0</v>
      </c>
      <c r="J369" s="213">
        <f ca="1">IFERROR(__xludf.DUMMYFUNCTION("IMPORTRANGE(""https://docs.google.com/spreadsheets/d/11923uPwbBZFjjGgGUA6NLw09EwE0CqkOc4q9oUmW1yo/edit?usp=sharing"",""แพร่!J164"")"),0)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IFERROR(__xludf.DUMMYFUNCTION("IMPORTRANGE(""https://docs.google.com/spreadsheets/d/11923uPwbBZFjjGgGUA6NLw09EwE0CqkOc4q9oUmW1yo/edit?usp=sharing"",""แพร่!I265"")"),55)</f>
        <v>55</v>
      </c>
      <c r="J370" s="213">
        <f ca="1">IFERROR(__xludf.DUMMYFUNCTION("IMPORTRANGE(""https://docs.google.com/spreadsheets/d/11923uPwbBZFjjGgGUA6NLw09EwE0CqkOc4q9oUmW1yo/edit?usp=sharing"",""แพร่!J265"")"),55)</f>
        <v>55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IFERROR(__xludf.DUMMYFUNCTION("IMPORTRANGE(""https://docs.google.com/spreadsheets/d/11923uPwbBZFjjGgGUA6NLw09EwE0CqkOc4q9oUmW1yo/edit?usp=sharing"",""แพร่!I164"")"),0)</f>
        <v>0</v>
      </c>
      <c r="J371" s="198">
        <f ca="1">IFERROR(__xludf.DUMMYFUNCTION("IMPORTRANGE(""https://docs.google.com/spreadsheets/d/11923uPwbBZFjjGgGUA6NLw09EwE0CqkOc4q9oUmW1yo/edit?usp=sharing"",""แพร่!J164"")"),0)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IFERROR(__xludf.DUMMYFUNCTION("IMPORTRANGE(""https://docs.google.com/spreadsheets/d/11923uPwbBZFjjGgGUA6NLw09EwE0CqkOc4q9oUmW1yo/edit?usp=sharing"",""แพร่!I267"")"),55)</f>
        <v>55</v>
      </c>
      <c r="J372" s="198">
        <f ca="1">IFERROR(__xludf.DUMMYFUNCTION("IMPORTRANGE(""https://docs.google.com/spreadsheets/d/11923uPwbBZFjjGgGUA6NLw09EwE0CqkOc4q9oUmW1yo/edit?usp=sharing"",""แพร่!J267"")"),0)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IFERROR(__xludf.DUMMYFUNCTION("IMPORTRANGE(""https://docs.google.com/spreadsheets/d/11923uPwbBZFjjGgGUA6NLw09EwE0CqkOc4q9oUmW1yo/edit?usp=sharing"",""แพร่!I164"")"),0)</f>
        <v>0</v>
      </c>
      <c r="J373" s="213">
        <f ca="1">IFERROR(__xludf.DUMMYFUNCTION("IMPORTRANGE(""https://docs.google.com/spreadsheets/d/11923uPwbBZFjjGgGUA6NLw09EwE0CqkOc4q9oUmW1yo/edit?usp=sharing"",""แพร่!J164"")"),0)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IFERROR(__xludf.DUMMYFUNCTION("IMPORTRANGE(""https://docs.google.com/spreadsheets/d/11923uPwbBZFjjGgGUA6NLw09EwE0CqkOc4q9oUmW1yo/edit?usp=sharing"",""แพร่!I164"")"),0)</f>
        <v>0</v>
      </c>
      <c r="J374" s="197">
        <f ca="1">IFERROR(__xludf.DUMMYFUNCTION("IMPORTRANGE(""https://docs.google.com/spreadsheets/d/11923uPwbBZFjjGgGUA6NLw09EwE0CqkOc4q9oUmW1yo/edit?usp=sharing"",""แพร่!J164"")"),0)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IFERROR(__xludf.DUMMYFUNCTION("IMPORTRANGE(""https://docs.google.com/spreadsheets/d/11923uPwbBZFjjGgGUA6NLw09EwE0CqkOc4q9oUmW1yo/edit?usp=sharing"",""แพร่!I270"")"),90)</f>
        <v>90</v>
      </c>
      <c r="J375" s="197">
        <f ca="1">IFERROR(__xludf.DUMMYFUNCTION("IMPORTRANGE(""https://docs.google.com/spreadsheets/d/11923uPwbBZFjjGgGUA6NLw09EwE0CqkOc4q9oUmW1yo/edit?usp=sharing"",""แพร่!J270"")"),90)</f>
        <v>90</v>
      </c>
      <c r="K375" s="171">
        <f t="shared" ref="K375:K377" ca="1" si="107">IF(I375&gt;0,J375*100/I375,0)</f>
        <v>100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IFERROR(__xludf.DUMMYFUNCTION("IMPORTRANGE(""https://docs.google.com/spreadsheets/d/11923uPwbBZFjjGgGUA6NLw09EwE0CqkOc4q9oUmW1yo/edit?usp=sharing"",""แพร่!I271"")"),50)</f>
        <v>50</v>
      </c>
      <c r="J376" s="198">
        <f ca="1">IFERROR(__xludf.DUMMYFUNCTION("IMPORTRANGE(""https://docs.google.com/spreadsheets/d/11923uPwbBZFjjGgGUA6NLw09EwE0CqkOc4q9oUmW1yo/edit?usp=sharing"",""แพร่!J271"")"),50)</f>
        <v>50</v>
      </c>
      <c r="K376" s="171">
        <f t="shared" ca="1" si="107"/>
        <v>100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IFERROR(__xludf.DUMMYFUNCTION("IMPORTRANGE(""https://docs.google.com/spreadsheets/d/11923uPwbBZFjjGgGUA6NLw09EwE0CqkOc4q9oUmW1yo/edit?usp=sharing"",""แพร่!I272"")"),40)</f>
        <v>40</v>
      </c>
      <c r="J377" s="213">
        <f ca="1">IFERROR(__xludf.DUMMYFUNCTION("IMPORTRANGE(""https://docs.google.com/spreadsheets/d/11923uPwbBZFjjGgGUA6NLw09EwE0CqkOc4q9oUmW1yo/edit?usp=sharing"",""แพร่!J272"")"),40)</f>
        <v>40</v>
      </c>
      <c r="K377" s="171">
        <f t="shared" ca="1" si="107"/>
        <v>100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IFERROR(__xludf.DUMMYFUNCTION("IMPORTRANGE(""https://docs.google.com/spreadsheets/d/11923uPwbBZFjjGgGUA6NLw09EwE0CqkOc4q9oUmW1yo/edit?usp=sharing"",""แพร่!J273"")"),0)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IFERROR(__xludf.DUMMYFUNCTION("IMPORTRANGE(""https://docs.google.com/spreadsheets/d/11923uPwbBZFjjGgGUA6NLw09EwE0CqkOc4q9oUmW1yo/edit?usp=sharing"",""แพร่!J274"")"),0)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IFERROR(__xludf.DUMMYFUNCTION("IMPORTRANGE(""https://docs.google.com/spreadsheets/d/11923uPwbBZFjjGgGUA6NLw09EwE0CqkOc4q9oUmW1yo/edit?usp=sharing"",""แพร่!I275"")"),1000)</f>
        <v>1000</v>
      </c>
      <c r="J380" s="379">
        <f ca="1">IFERROR(__xludf.DUMMYFUNCTION("IMPORTRANGE(""https://docs.google.com/spreadsheets/d/11923uPwbBZFjjGgGUA6NLw09EwE0CqkOc4q9oUmW1yo/edit?usp=sharing"",""แพร่!J275"")"),0)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IFERROR(__xludf.DUMMYFUNCTION("IMPORTRANGE(""https://docs.google.com/spreadsheets/d/11923uPwbBZFjjGgGUA6NLw09EwE0CqkOc4q9oUmW1yo/edit?usp=sharing"",""แพร่!L275"")"),1028520)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IFERROR(__xludf.DUMMYFUNCTION("IMPORTRANGE(""https://docs.google.com/spreadsheets/d/11923uPwbBZFjjGgGUA6NLw09EwE0CqkOc4q9oUmW1yo/edit?usp=sharing"",""แพร่!M275"")"),180396)</f>
        <v>180396</v>
      </c>
      <c r="O380" s="381">
        <f ca="1">+IF(L380&gt;0,N380*100/L380,0)</f>
        <v>17.539376968848444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IFERROR(__xludf.DUMMYFUNCTION("IMPORTRANGE(""https://docs.google.com/spreadsheets/d/11923uPwbBZFjjGgGUA6NLw09EwE0CqkOc4q9oUmW1yo/edit?usp=sharing"",""แพร่!I276"")"),100)</f>
        <v>100</v>
      </c>
      <c r="J381" s="379">
        <f ca="1">IFERROR(__xludf.DUMMYFUNCTION("IMPORTRANGE(""https://docs.google.com/spreadsheets/d/11923uPwbBZFjjGgGUA6NLw09EwE0CqkOc4q9oUmW1yo/edit?usp=sharing"",""แพร่!J276"")"),50)</f>
        <v>50</v>
      </c>
      <c r="K381" s="380">
        <f t="shared" ca="1" si="108"/>
        <v>50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IFERROR(__xludf.DUMMYFUNCTION("IMPORTRANGE(""https://docs.google.com/spreadsheets/d/11923uPwbBZFjjGgGUA6NLw09EwE0CqkOc4q9oUmW1yo/edit?usp=sharing"",""แพร่!L277"")"),0)</f>
        <v>0</v>
      </c>
      <c r="M382" s="172"/>
      <c r="N382" s="172">
        <f ca="1">IFERROR(__xludf.DUMMYFUNCTION("IMPORTRANGE(""https://docs.google.com/spreadsheets/d/11923uPwbBZFjjGgGUA6NLw09EwE0CqkOc4q9oUmW1yo/edit?usp=sharing"",""แพร่!M277"")"),0)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IFERROR(__xludf.DUMMYFUNCTION("IMPORTRANGE(""https://docs.google.com/spreadsheets/d/11923uPwbBZFjjGgGUA6NLw09EwE0CqkOc4q9oUmW1yo/edit?usp=sharing"",""แพร่!L278"")"),1028520)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IFERROR(__xludf.DUMMYFUNCTION("IMPORTRANGE(""https://docs.google.com/spreadsheets/d/11923uPwbBZFjjGgGUA6NLw09EwE0CqkOc4q9oUmW1yo/edit?usp=sharing"",""แพร่!M278"")"),180396)</f>
        <v>180396</v>
      </c>
      <c r="O383" s="173">
        <f t="shared" ca="1" si="109"/>
        <v>17.539376968848444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IFERROR(__xludf.DUMMYFUNCTION("IMPORTRANGE(""https://docs.google.com/spreadsheets/d/11923uPwbBZFjjGgGUA6NLw09EwE0CqkOc4q9oUmW1yo/edit?usp=sharing"",""แพร่!L279"")"),0)</f>
        <v>0</v>
      </c>
      <c r="M384" s="178"/>
      <c r="N384" s="178">
        <f ca="1">IFERROR(__xludf.DUMMYFUNCTION("IMPORTRANGE(""https://docs.google.com/spreadsheets/d/11923uPwbBZFjjGgGUA6NLw09EwE0CqkOc4q9oUmW1yo/edit?usp=sharing"",""แพร่!M279"")"),0)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IFERROR(__xludf.DUMMYFUNCTION("IMPORTRANGE(""https://docs.google.com/spreadsheets/d/11923uPwbBZFjjGgGUA6NLw09EwE0CqkOc4q9oUmW1yo/edit?usp=sharing"",""แพร่!L280"")"),1028520)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IFERROR(__xludf.DUMMYFUNCTION("IMPORTRANGE(""https://docs.google.com/spreadsheets/d/11923uPwbBZFjjGgGUA6NLw09EwE0CqkOc4q9oUmW1yo/edit?usp=sharing"",""แพร่!M280"")"),180396)</f>
        <v>180396</v>
      </c>
      <c r="O385" s="178">
        <f t="shared" ca="1" si="109"/>
        <v>17.539376968848444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IFERROR(__xludf.DUMMYFUNCTION("IMPORTRANGE(""https://docs.google.com/spreadsheets/d/11923uPwbBZFjjGgGUA6NLw09EwE0CqkOc4q9oUmW1yo/edit?usp=sharing"",""แพร่!M281"")"),139476)</f>
        <v>139476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IFERROR(__xludf.DUMMYFUNCTION("IMPORTRANGE(""https://docs.google.com/spreadsheets/d/11923uPwbBZFjjGgGUA6NLw09EwE0CqkOc4q9oUmW1yo/edit?usp=sharing"",""แพร่!M282"")"),0)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IFERROR(__xludf.DUMMYFUNCTION("IMPORTRANGE(""https://docs.google.com/spreadsheets/d/11923uPwbBZFjjGgGUA6NLw09EwE0CqkOc4q9oUmW1yo/edit?usp=sharing"",""แพร่!M283"")"),33000)</f>
        <v>33000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IFERROR(__xludf.DUMMYFUNCTION("IMPORTRANGE(""https://docs.google.com/spreadsheets/d/11923uPwbBZFjjGgGUA6NLw09EwE0CqkOc4q9oUmW1yo/edit?usp=sharing"",""แพร่!M284"")"),7920)</f>
        <v>7920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IFERROR(__xludf.DUMMYFUNCTION("IMPORTRANGE(""https://docs.google.com/spreadsheets/d/11923uPwbBZFjjGgGUA6NLw09EwE0CqkOc4q9oUmW1yo/edit?usp=sharing"",""แพร่!J286"")"),0)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IFERROR(__xludf.DUMMYFUNCTION("IMPORTRANGE(""https://docs.google.com/spreadsheets/d/11923uPwbBZFjjGgGUA6NLw09EwE0CqkOc4q9oUmW1yo/edit?usp=sharing"",""แพร่!J287"")"),1)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IFERROR(__xludf.DUMMYFUNCTION("IMPORTRANGE(""https://docs.google.com/spreadsheets/d/11923uPwbBZFjjGgGUA6NLw09EwE0CqkOc4q9oUmW1yo/edit?usp=sharing"",""แพร่!J288"")"),1)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IFERROR(__xludf.DUMMYFUNCTION("IMPORTRANGE(""https://docs.google.com/spreadsheets/d/11923uPwbBZFjjGgGUA6NLw09EwE0CqkOc4q9oUmW1yo/edit?usp=sharing"",""แพร่!J289"")"),1)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IFERROR(__xludf.DUMMYFUNCTION("IMPORTRANGE(""https://docs.google.com/spreadsheets/d/11923uPwbBZFjjGgGUA6NLw09EwE0CqkOc4q9oUmW1yo/edit?usp=sharing"",""แพร่!I291"")"),100)</f>
        <v>100</v>
      </c>
      <c r="J396" s="207">
        <f ca="1">IFERROR(__xludf.DUMMYFUNCTION("IMPORTRANGE(""https://docs.google.com/spreadsheets/d/11923uPwbBZFjjGgGUA6NLw09EwE0CqkOc4q9oUmW1yo/edit?usp=sharing"",""แพร่!J291"")"),50)</f>
        <v>50</v>
      </c>
      <c r="K396" s="171">
        <f t="shared" ref="K396:K398" ca="1" si="110">IF(I396&gt;0,J396*100/I396,0)</f>
        <v>50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IFERROR(__xludf.DUMMYFUNCTION("IMPORTRANGE(""https://docs.google.com/spreadsheets/d/11923uPwbBZFjjGgGUA6NLw09EwE0CqkOc4q9oUmW1yo/edit?usp=sharing"",""แพร่!I292"")"),1000)</f>
        <v>1000</v>
      </c>
      <c r="J397" s="207">
        <f ca="1">IFERROR(__xludf.DUMMYFUNCTION("IMPORTRANGE(""https://docs.google.com/spreadsheets/d/11923uPwbBZFjjGgGUA6NLw09EwE0CqkOc4q9oUmW1yo/edit?usp=sharing"",""แพร่!J292"")"),0)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IFERROR(__xludf.DUMMYFUNCTION("IMPORTRANGE(""https://docs.google.com/spreadsheets/d/11923uPwbBZFjjGgGUA6NLw09EwE0CqkOc4q9oUmW1yo/edit?usp=sharing"",""แพร่!I293"")"),100)</f>
        <v>100</v>
      </c>
      <c r="J398" s="207">
        <f ca="1">IFERROR(__xludf.DUMMYFUNCTION("IMPORTRANGE(""https://docs.google.com/spreadsheets/d/11923uPwbBZFjjGgGUA6NLw09EwE0CqkOc4q9oUmW1yo/edit?usp=sharing"",""แพร่!J293"")"),0)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IFERROR(__xludf.DUMMYFUNCTION("IMPORTRANGE(""https://docs.google.com/spreadsheets/d/11923uPwbBZFjjGgGUA6NLw09EwE0CqkOc4q9oUmW1yo/edit?usp=sharing"",""แพร่!J294"")"),0)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IFERROR(__xludf.DUMMYFUNCTION("IMPORTRANGE(""https://docs.google.com/spreadsheets/d/11923uPwbBZFjjGgGUA6NLw09EwE0CqkOc4q9oUmW1yo/edit?usp=sharing"",""แพร่!J295"")"),0)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IFERROR(__xludf.DUMMYFUNCTION("IMPORTRANGE(""https://docs.google.com/spreadsheets/d/11923uPwbBZFjjGgGUA6NLw09EwE0CqkOc4q9oUmW1yo/edit?usp=sharing"",""แพร่!I296"")"),120)</f>
        <v>120</v>
      </c>
      <c r="J401" s="379">
        <f ca="1">IFERROR(__xludf.DUMMYFUNCTION("IMPORTRANGE(""https://docs.google.com/spreadsheets/d/11923uPwbBZFjjGgGUA6NLw09EwE0CqkOc4q9oUmW1yo/edit?usp=sharing"",""แพร่!J296"")"),0)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IFERROR(__xludf.DUMMYFUNCTION("IMPORTRANGE(""https://docs.google.com/spreadsheets/d/11923uPwbBZFjjGgGUA6NLw09EwE0CqkOc4q9oUmW1yo/edit?usp=sharing"",""แพร่!L296"")"),135020)</f>
        <v>135020</v>
      </c>
      <c r="M401" s="381"/>
      <c r="N401" s="381">
        <f ca="1">IFERROR(__xludf.DUMMYFUNCTION("IMPORTRANGE(""https://docs.google.com/spreadsheets/d/11923uPwbBZFjjGgGUA6NLw09EwE0CqkOc4q9oUmW1yo/edit?usp=sharing"",""แพร่!M296"")"),36200)</f>
        <v>36200</v>
      </c>
      <c r="O401" s="381">
        <f ca="1">+IF(L401&gt;0,N401*100/L401,0)</f>
        <v>26.810842838098061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IFERROR(__xludf.DUMMYFUNCTION("IMPORTRANGE(""https://docs.google.com/spreadsheets/d/11923uPwbBZFjjGgGUA6NLw09EwE0CqkOc4q9oUmW1yo/edit?usp=sharing"",""แพร่!I297"")"),40)</f>
        <v>40</v>
      </c>
      <c r="J402" s="379">
        <f ca="1">IFERROR(__xludf.DUMMYFUNCTION("IMPORTRANGE(""https://docs.google.com/spreadsheets/d/11923uPwbBZFjjGgGUA6NLw09EwE0CqkOc4q9oUmW1yo/edit?usp=sharing"",""แพร่!J297"")"),0)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IFERROR(__xludf.DUMMYFUNCTION("IMPORTRANGE(""https://docs.google.com/spreadsheets/d/11923uPwbBZFjjGgGUA6NLw09EwE0CqkOc4q9oUmW1yo/edit?usp=sharing"",""แพร่!L298"")"),0)</f>
        <v>0</v>
      </c>
      <c r="M403" s="172"/>
      <c r="N403" s="178">
        <f ca="1">IFERROR(__xludf.DUMMYFUNCTION("IMPORTRANGE(""https://docs.google.com/spreadsheets/d/11923uPwbBZFjjGgGUA6NLw09EwE0CqkOc4q9oUmW1yo/edit?usp=sharing"",""แพร่!M298"")"),0)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IFERROR(__xludf.DUMMYFUNCTION("IMPORTRANGE(""https://docs.google.com/spreadsheets/d/11923uPwbBZFjjGgGUA6NLw09EwE0CqkOc4q9oUmW1yo/edit?usp=sharing"",""แพร่!L299"")"),135020)</f>
        <v>135020</v>
      </c>
      <c r="M404" s="173"/>
      <c r="N404" s="178">
        <f ca="1">IFERROR(__xludf.DUMMYFUNCTION("IMPORTRANGE(""https://docs.google.com/spreadsheets/d/11923uPwbBZFjjGgGUA6NLw09EwE0CqkOc4q9oUmW1yo/edit?usp=sharing"",""แพร่!M299"")"),36200)</f>
        <v>36200</v>
      </c>
      <c r="O404" s="178">
        <f t="shared" ca="1" si="112"/>
        <v>26.810842838098061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IFERROR(__xludf.DUMMYFUNCTION("IMPORTRANGE(""https://docs.google.com/spreadsheets/d/11923uPwbBZFjjGgGUA6NLw09EwE0CqkOc4q9oUmW1yo/edit?usp=sharing"",""แพร่!L300"")"),0)</f>
        <v>0</v>
      </c>
      <c r="M405" s="178"/>
      <c r="N405" s="178">
        <f ca="1">IFERROR(__xludf.DUMMYFUNCTION("IMPORTRANGE(""https://docs.google.com/spreadsheets/d/11923uPwbBZFjjGgGUA6NLw09EwE0CqkOc4q9oUmW1yo/edit?usp=sharing"",""แพร่!M300"")"),0)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IFERROR(__xludf.DUMMYFUNCTION("IMPORTRANGE(""https://docs.google.com/spreadsheets/d/11923uPwbBZFjjGgGUA6NLw09EwE0CqkOc4q9oUmW1yo/edit?usp=sharing"",""แพร่!L301"")"),135020)</f>
        <v>135020</v>
      </c>
      <c r="M406" s="178"/>
      <c r="N406" s="178">
        <f ca="1">IFERROR(__xludf.DUMMYFUNCTION("IMPORTRANGE(""https://docs.google.com/spreadsheets/d/11923uPwbBZFjjGgGUA6NLw09EwE0CqkOc4q9oUmW1yo/edit?usp=sharing"",""แพร่!M301"")"),36200)</f>
        <v>36200</v>
      </c>
      <c r="O406" s="178">
        <f t="shared" ca="1" si="112"/>
        <v>26.810842838098061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IFERROR(__xludf.DUMMYFUNCTION("IMPORTRANGE(""https://docs.google.com/spreadsheets/d/11923uPwbBZFjjGgGUA6NLw09EwE0CqkOc4q9oUmW1yo/edit?usp=sharing"",""แพร่!M302"")"),36200)</f>
        <v>36200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IFERROR(__xludf.DUMMYFUNCTION("IMPORTRANGE(""https://docs.google.com/spreadsheets/d/11923uPwbBZFjjGgGUA6NLw09EwE0CqkOc4q9oUmW1yo/edit?usp=sharing"",""แพร่!M303"")"),0)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IFERROR(__xludf.DUMMYFUNCTION("IMPORTRANGE(""https://docs.google.com/spreadsheets/d/11923uPwbBZFjjGgGUA6NLw09EwE0CqkOc4q9oUmW1yo/edit?usp=sharing"",""แพร่!M304"")"),0)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IFERROR(__xludf.DUMMYFUNCTION("IMPORTRANGE(""https://docs.google.com/spreadsheets/d/11923uPwbBZFjjGgGUA6NLw09EwE0CqkOc4q9oUmW1yo/edit?usp=sharing"",""แพร่!M305"")"),0)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IFERROR(__xludf.DUMMYFUNCTION("IMPORTRANGE(""https://docs.google.com/spreadsheets/d/11923uPwbBZFjjGgGUA6NLw09EwE0CqkOc4q9oUmW1yo/edit?usp=sharing"",""แพร่!J307"")"),0)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IFERROR(__xludf.DUMMYFUNCTION("IMPORTRANGE(""https://docs.google.com/spreadsheets/d/11923uPwbBZFjjGgGUA6NLw09EwE0CqkOc4q9oUmW1yo/edit?usp=sharing"",""แพร่!J308"")"),1)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IFERROR(__xludf.DUMMYFUNCTION("IMPORTRANGE(""https://docs.google.com/spreadsheets/d/11923uPwbBZFjjGgGUA6NLw09EwE0CqkOc4q9oUmW1yo/edit?usp=sharing"",""แพร่!J309"")"),1)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IFERROR(__xludf.DUMMYFUNCTION("IMPORTRANGE(""https://docs.google.com/spreadsheets/d/11923uPwbBZFjjGgGUA6NLw09EwE0CqkOc4q9oUmW1yo/edit?usp=sharing"",""แพร่!J310"")"),1)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IFERROR(__xludf.DUMMYFUNCTION("IMPORTRANGE(""https://docs.google.com/spreadsheets/d/11923uPwbBZFjjGgGUA6NLw09EwE0CqkOc4q9oUmW1yo/edit?usp=sharing"",""แพร่!I311"")"),40)</f>
        <v>40</v>
      </c>
      <c r="J416" s="210">
        <f ca="1">IFERROR(__xludf.DUMMYFUNCTION("IMPORTRANGE(""https://docs.google.com/spreadsheets/d/11923uPwbBZFjjGgGUA6NLw09EwE0CqkOc4q9oUmW1yo/edit?usp=sharing"",""แพร่!J311"")"),0)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IFERROR(__xludf.DUMMYFUNCTION("IMPORTRANGE(""https://docs.google.com/spreadsheets/d/11923uPwbBZFjjGgGUA6NLw09EwE0CqkOc4q9oUmW1yo/edit?usp=sharing"",""แพร่!I312"")"),10)</f>
        <v>10</v>
      </c>
      <c r="J417" s="400">
        <f ca="1">IFERROR(__xludf.DUMMYFUNCTION("IMPORTRANGE(""https://docs.google.com/spreadsheets/d/11923uPwbBZFjjGgGUA6NLw09EwE0CqkOc4q9oUmW1yo/edit?usp=sharing"",""แพร่!J312"")"),0)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IFERROR(__xludf.DUMMYFUNCTION("IMPORTRANGE(""https://docs.google.com/spreadsheets/d/11923uPwbBZFjjGgGUA6NLw09EwE0CqkOc4q9oUmW1yo/edit?usp=sharing"",""แพร่!I313"")"),30)</f>
        <v>30</v>
      </c>
      <c r="J418" s="401">
        <f ca="1">IFERROR(__xludf.DUMMYFUNCTION("IMPORTRANGE(""https://docs.google.com/spreadsheets/d/11923uPwbBZFjjGgGUA6NLw09EwE0CqkOc4q9oUmW1yo/edit?usp=sharing"",""แพร่!J313"")"),0)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IFERROR(__xludf.DUMMYFUNCTION("IMPORTRANGE(""https://docs.google.com/spreadsheets/d/11923uPwbBZFjjGgGUA6NLw09EwE0CqkOc4q9oUmW1yo/edit?usp=sharing"",""แพร่!I314"")"),10)</f>
        <v>10</v>
      </c>
      <c r="J419" s="402">
        <f ca="1">IFERROR(__xludf.DUMMYFUNCTION("IMPORTRANGE(""https://docs.google.com/spreadsheets/d/11923uPwbBZFjjGgGUA6NLw09EwE0CqkOc4q9oUmW1yo/edit?usp=sharing"",""แพร่!J314"")"),10)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IFERROR(__xludf.DUMMYFUNCTION("IMPORTRANGE(""https://docs.google.com/spreadsheets/d/11923uPwbBZFjjGgGUA6NLw09EwE0CqkOc4q9oUmW1yo/edit?usp=sharing"",""แพร่!I315"")"),10)</f>
        <v>10</v>
      </c>
      <c r="J420" s="402">
        <f ca="1">IFERROR(__xludf.DUMMYFUNCTION("IMPORTRANGE(""https://docs.google.com/spreadsheets/d/11923uPwbBZFjjGgGUA6NLw09EwE0CqkOc4q9oUmW1yo/edit?usp=sharing"",""แพร่!J315"")"),0)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IFERROR(__xludf.DUMMYFUNCTION("IMPORTRANGE(""https://docs.google.com/spreadsheets/d/11923uPwbBZFjjGgGUA6NLw09EwE0CqkOc4q9oUmW1yo/edit?usp=sharing"",""แพร่!I316"")"),14)</f>
        <v>14</v>
      </c>
      <c r="J421" s="400">
        <f ca="1">IFERROR(__xludf.DUMMYFUNCTION("IMPORTRANGE(""https://docs.google.com/spreadsheets/d/11923uPwbBZFjjGgGUA6NLw09EwE0CqkOc4q9oUmW1yo/edit?usp=sharing"",""แพร่!J316"")"),0)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IFERROR(__xludf.DUMMYFUNCTION("IMPORTRANGE(""https://docs.google.com/spreadsheets/d/11923uPwbBZFjjGgGUA6NLw09EwE0CqkOc4q9oUmW1yo/edit?usp=sharing"",""แพร่!I317"")"),42)</f>
        <v>42</v>
      </c>
      <c r="J422" s="401">
        <f ca="1">IFERROR(__xludf.DUMMYFUNCTION("IMPORTRANGE(""https://docs.google.com/spreadsheets/d/11923uPwbBZFjjGgGUA6NLw09EwE0CqkOc4q9oUmW1yo/edit?usp=sharing"",""แพร่!J317"")"),0)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IFERROR(__xludf.DUMMYFUNCTION("IMPORTRANGE(""https://docs.google.com/spreadsheets/d/11923uPwbBZFjjGgGUA6NLw09EwE0CqkOc4q9oUmW1yo/edit?usp=sharing"",""แพร่!I318"")"),14)</f>
        <v>14</v>
      </c>
      <c r="J423" s="402">
        <f ca="1">IFERROR(__xludf.DUMMYFUNCTION("IMPORTRANGE(""https://docs.google.com/spreadsheets/d/11923uPwbBZFjjGgGUA6NLw09EwE0CqkOc4q9oUmW1yo/edit?usp=sharing"",""แพร่!J318"")"),14)</f>
        <v>14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IFERROR(__xludf.DUMMYFUNCTION("IMPORTRANGE(""https://docs.google.com/spreadsheets/d/11923uPwbBZFjjGgGUA6NLw09EwE0CqkOc4q9oUmW1yo/edit?usp=sharing"",""แพร่!I319"")"),14)</f>
        <v>14</v>
      </c>
      <c r="J424" s="402">
        <f ca="1">IFERROR(__xludf.DUMMYFUNCTION("IMPORTRANGE(""https://docs.google.com/spreadsheets/d/11923uPwbBZFjjGgGUA6NLw09EwE0CqkOc4q9oUmW1yo/edit?usp=sharing"",""แพร่!J319"")"),0)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IFERROR(__xludf.DUMMYFUNCTION("IMPORTRANGE(""https://docs.google.com/spreadsheets/d/11923uPwbBZFjjGgGUA6NLw09EwE0CqkOc4q9oUmW1yo/edit?usp=sharing"",""แพร่!I320"")"),14)</f>
        <v>14</v>
      </c>
      <c r="J425" s="402">
        <f ca="1">IFERROR(__xludf.DUMMYFUNCTION("IMPORTRANGE(""https://docs.google.com/spreadsheets/d/11923uPwbBZFjjGgGUA6NLw09EwE0CqkOc4q9oUmW1yo/edit?usp=sharing"",""แพร่!J320"")"),0)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IFERROR(__xludf.DUMMYFUNCTION("IMPORTRANGE(""https://docs.google.com/spreadsheets/d/11923uPwbBZFjjGgGUA6NLw09EwE0CqkOc4q9oUmW1yo/edit?usp=sharing"",""แพร่!I321"")"),16)</f>
        <v>16</v>
      </c>
      <c r="J426" s="400">
        <f ca="1">IFERROR(__xludf.DUMMYFUNCTION("IMPORTRANGE(""https://docs.google.com/spreadsheets/d/11923uPwbBZFjjGgGUA6NLw09EwE0CqkOc4q9oUmW1yo/edit?usp=sharing"",""แพร่!J321"")"),0)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IFERROR(__xludf.DUMMYFUNCTION("IMPORTRANGE(""https://docs.google.com/spreadsheets/d/11923uPwbBZFjjGgGUA6NLw09EwE0CqkOc4q9oUmW1yo/edit?usp=sharing"",""แพร่!I322"")"),48)</f>
        <v>48</v>
      </c>
      <c r="J427" s="401">
        <f ca="1">IFERROR(__xludf.DUMMYFUNCTION("IMPORTRANGE(""https://docs.google.com/spreadsheets/d/11923uPwbBZFjjGgGUA6NLw09EwE0CqkOc4q9oUmW1yo/edit?usp=sharing"",""แพร่!J322"")"),0)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IFERROR(__xludf.DUMMYFUNCTION("IMPORTRANGE(""https://docs.google.com/spreadsheets/d/11923uPwbBZFjjGgGUA6NLw09EwE0CqkOc4q9oUmW1yo/edit?usp=sharing"",""แพร่!I323"")"),16)</f>
        <v>16</v>
      </c>
      <c r="J428" s="402">
        <f ca="1">IFERROR(__xludf.DUMMYFUNCTION("IMPORTRANGE(""https://docs.google.com/spreadsheets/d/11923uPwbBZFjjGgGUA6NLw09EwE0CqkOc4q9oUmW1yo/edit?usp=sharing"",""แพร่!J323"")"),0)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IFERROR(__xludf.DUMMYFUNCTION("IMPORTRANGE(""https://docs.google.com/spreadsheets/d/11923uPwbBZFjjGgGUA6NLw09EwE0CqkOc4q9oUmW1yo/edit?usp=sharing"",""แพร่!I324"")"),16)</f>
        <v>16</v>
      </c>
      <c r="J429" s="402">
        <f ca="1">IFERROR(__xludf.DUMMYFUNCTION("IMPORTRANGE(""https://docs.google.com/spreadsheets/d/11923uPwbBZFjjGgGUA6NLw09EwE0CqkOc4q9oUmW1yo/edit?usp=sharing"",""แพร่!J324"")"),16)</f>
        <v>16</v>
      </c>
      <c r="K429" s="171">
        <f t="shared" ca="1" si="113"/>
        <v>100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IFERROR(__xludf.DUMMYFUNCTION("IMPORTRANGE(""https://docs.google.com/spreadsheets/d/11923uPwbBZFjjGgGUA6NLw09EwE0CqkOc4q9oUmW1yo/edit?usp=sharing"",""แพร่!I325"")"),24)</f>
        <v>24</v>
      </c>
      <c r="J430" s="400">
        <f ca="1">IFERROR(__xludf.DUMMYFUNCTION("IMPORTRANGE(""https://docs.google.com/spreadsheets/d/11923uPwbBZFjjGgGUA6NLw09EwE0CqkOc4q9oUmW1yo/edit?usp=sharing"",""แพร่!J325"")"),0)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IFERROR(__xludf.DUMMYFUNCTION("IMPORTRANGE(""https://docs.google.com/spreadsheets/d/11923uPwbBZFjjGgGUA6NLw09EwE0CqkOc4q9oUmW1yo/edit?usp=sharing"",""แพร่!I326"")"),10)</f>
        <v>10</v>
      </c>
      <c r="J431" s="402">
        <f ca="1">IFERROR(__xludf.DUMMYFUNCTION("IMPORTRANGE(""https://docs.google.com/spreadsheets/d/11923uPwbBZFjjGgGUA6NLw09EwE0CqkOc4q9oUmW1yo/edit?usp=sharing"",""แพร่!J326"")"),0)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IFERROR(__xludf.DUMMYFUNCTION("IMPORTRANGE(""https://docs.google.com/spreadsheets/d/11923uPwbBZFjjGgGUA6NLw09EwE0CqkOc4q9oUmW1yo/edit?usp=sharing"",""แพร่!I327"")"),14)</f>
        <v>14</v>
      </c>
      <c r="J432" s="402">
        <f ca="1">IFERROR(__xludf.DUMMYFUNCTION("IMPORTRANGE(""https://docs.google.com/spreadsheets/d/11923uPwbBZFjjGgGUA6NLw09EwE0CqkOc4q9oUmW1yo/edit?usp=sharing"",""แพร่!J327"")"),0)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IFERROR(__xludf.DUMMYFUNCTION("IMPORTRANGE(""https://docs.google.com/spreadsheets/d/11923uPwbBZFjjGgGUA6NLw09EwE0CqkOc4q9oUmW1yo/edit?usp=sharing"",""แพร่!J328"")"),0)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IFERROR(__xludf.DUMMYFUNCTION("IMPORTRANGE(""https://docs.google.com/spreadsheets/d/11923uPwbBZFjjGgGUA6NLw09EwE0CqkOc4q9oUmW1yo/edit?usp=sharing"",""แพร่!J329"")"),0)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IFERROR(__xludf.DUMMYFUNCTION("IMPORTRANGE(""https://docs.google.com/spreadsheets/d/11923uPwbBZFjjGgGUA6NLw09EwE0CqkOc4q9oUmW1yo/edit?usp=sharing"",""แพร่!I330"")"),20)</f>
        <v>20</v>
      </c>
      <c r="J435" s="418">
        <f ca="1">IFERROR(__xludf.DUMMYFUNCTION("IMPORTRANGE(""https://docs.google.com/spreadsheets/d/11923uPwbBZFjjGgGUA6NLw09EwE0CqkOc4q9oUmW1yo/edit?usp=sharing"",""แพร่!J330"")"),20)</f>
        <v>20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IFERROR(__xludf.DUMMYFUNCTION("IMPORTRANGE(""https://docs.google.com/spreadsheets/d/11923uPwbBZFjjGgGUA6NLw09EwE0CqkOc4q9oUmW1yo/edit?usp=sharing"",""แพร่!L330"")"),95000)</f>
        <v>95000</v>
      </c>
      <c r="M435" s="420"/>
      <c r="N435" s="420">
        <f ca="1">IFERROR(__xludf.DUMMYFUNCTION("IMPORTRANGE(""https://docs.google.com/spreadsheets/d/11923uPwbBZFjjGgGUA6NLw09EwE0CqkOc4q9oUmW1yo/edit?usp=sharing"",""แพร่!M330"")"),24192)</f>
        <v>24192</v>
      </c>
      <c r="O435" s="420">
        <f t="shared" ref="O435:O439" ca="1" si="114">+IF(L435&gt;0,N435*100/L435,0)</f>
        <v>25.465263157894736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IFERROR(__xludf.DUMMYFUNCTION("IMPORTRANGE(""https://docs.google.com/spreadsheets/d/11923uPwbBZFjjGgGUA6NLw09EwE0CqkOc4q9oUmW1yo/edit?usp=sharing"",""แพร่!L331"")"),0)</f>
        <v>0</v>
      </c>
      <c r="M436" s="172"/>
      <c r="N436" s="178">
        <f ca="1">IFERROR(__xludf.DUMMYFUNCTION("IMPORTRANGE(""https://docs.google.com/spreadsheets/d/11923uPwbBZFjjGgGUA6NLw09EwE0CqkOc4q9oUmW1yo/edit?usp=sharing"",""แพร่!M331"")"),0)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IFERROR(__xludf.DUMMYFUNCTION("IMPORTRANGE(""https://docs.google.com/spreadsheets/d/11923uPwbBZFjjGgGUA6NLw09EwE0CqkOc4q9oUmW1yo/edit?usp=sharing"",""แพร่!L332"")"),95000)</f>
        <v>95000</v>
      </c>
      <c r="M437" s="173"/>
      <c r="N437" s="178">
        <f ca="1">IFERROR(__xludf.DUMMYFUNCTION("IMPORTRANGE(""https://docs.google.com/spreadsheets/d/11923uPwbBZFjjGgGUA6NLw09EwE0CqkOc4q9oUmW1yo/edit?usp=sharing"",""แพร่!M332"")"),24192)</f>
        <v>24192</v>
      </c>
      <c r="O437" s="178">
        <f t="shared" ca="1" si="114"/>
        <v>25.465263157894736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IFERROR(__xludf.DUMMYFUNCTION("IMPORTRANGE(""https://docs.google.com/spreadsheets/d/11923uPwbBZFjjGgGUA6NLw09EwE0CqkOc4q9oUmW1yo/edit?usp=sharing"",""แพร่!L333"")"),0)</f>
        <v>0</v>
      </c>
      <c r="M438" s="178"/>
      <c r="N438" s="178">
        <f ca="1">IFERROR(__xludf.DUMMYFUNCTION("IMPORTRANGE(""https://docs.google.com/spreadsheets/d/11923uPwbBZFjjGgGUA6NLw09EwE0CqkOc4q9oUmW1yo/edit?usp=sharing"",""แพร่!M333"")"),0)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IFERROR(__xludf.DUMMYFUNCTION("IMPORTRANGE(""https://docs.google.com/spreadsheets/d/11923uPwbBZFjjGgGUA6NLw09EwE0CqkOc4q9oUmW1yo/edit?usp=sharing"",""แพร่!L334"")"),95000)</f>
        <v>95000</v>
      </c>
      <c r="M439" s="178"/>
      <c r="N439" s="178">
        <f ca="1">IFERROR(__xludf.DUMMYFUNCTION("IMPORTRANGE(""https://docs.google.com/spreadsheets/d/11923uPwbBZFjjGgGUA6NLw09EwE0CqkOc4q9oUmW1yo/edit?usp=sharing"",""แพร่!M334"")"),24192)</f>
        <v>24192</v>
      </c>
      <c r="O439" s="178">
        <f t="shared" ca="1" si="114"/>
        <v>25.465263157894736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IFERROR(__xludf.DUMMYFUNCTION("IMPORTRANGE(""https://docs.google.com/spreadsheets/d/11923uPwbBZFjjGgGUA6NLw09EwE0CqkOc4q9oUmW1yo/edit?usp=sharing"",""แพร่!M335"")"),24192)</f>
        <v>24192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IFERROR(__xludf.DUMMYFUNCTION("IMPORTRANGE(""https://docs.google.com/spreadsheets/d/11923uPwbBZFjjGgGUA6NLw09EwE0CqkOc4q9oUmW1yo/edit?usp=sharing"",""แพร่!M336"")"),0)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IFERROR(__xludf.DUMMYFUNCTION("IMPORTRANGE(""https://docs.google.com/spreadsheets/d/11923uPwbBZFjjGgGUA6NLw09EwE0CqkOc4q9oUmW1yo/edit?usp=sharing"",""แพร่!M337"")"),0)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IFERROR(__xludf.DUMMYFUNCTION("IMPORTRANGE(""https://docs.google.com/spreadsheets/d/11923uPwbBZFjjGgGUA6NLw09EwE0CqkOc4q9oUmW1yo/edit?usp=sharing"",""แพร่!M338"")"),0)</f>
        <v>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IFERROR(__xludf.DUMMYFUNCTION("IMPORTRANGE(""https://docs.google.com/spreadsheets/d/11923uPwbBZFjjGgGUA6NLw09EwE0CqkOc4q9oUmW1yo/edit?usp=sharing"",""แพร่!J340"")"),0)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IFERROR(__xludf.DUMMYFUNCTION("IMPORTRANGE(""https://docs.google.com/spreadsheets/d/11923uPwbBZFjjGgGUA6NLw09EwE0CqkOc4q9oUmW1yo/edit?usp=sharing"",""แพร่!J341"")"),1)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IFERROR(__xludf.DUMMYFUNCTION("IMPORTRANGE(""https://docs.google.com/spreadsheets/d/11923uPwbBZFjjGgGUA6NLw09EwE0CqkOc4q9oUmW1yo/edit?usp=sharing"",""แพร่!J342"")"),1)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IFERROR(__xludf.DUMMYFUNCTION("IMPORTRANGE(""https://docs.google.com/spreadsheets/d/11923uPwbBZFjjGgGUA6NLw09EwE0CqkOc4q9oUmW1yo/edit?usp=sharing"",""แพร่!J343"")"),1)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IFERROR(__xludf.DUMMYFUNCTION("IMPORTRANGE(""https://docs.google.com/spreadsheets/d/11923uPwbBZFjjGgGUA6NLw09EwE0CqkOc4q9oUmW1yo/edit?usp=sharing"",""แพร่!I344"")"),20)</f>
        <v>20</v>
      </c>
      <c r="J449" s="210">
        <f ca="1">IFERROR(__xludf.DUMMYFUNCTION("IMPORTRANGE(""https://docs.google.com/spreadsheets/d/11923uPwbBZFjjGgGUA6NLw09EwE0CqkOc4q9oUmW1yo/edit?usp=sharing"",""แพร่!J344"")"),20)</f>
        <v>20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IFERROR(__xludf.DUMMYFUNCTION("IMPORTRANGE(""https://docs.google.com/spreadsheets/d/11923uPwbBZFjjGgGUA6NLw09EwE0CqkOc4q9oUmW1yo/edit?usp=sharing"",""แพร่!I345"")"),20)</f>
        <v>20</v>
      </c>
      <c r="J450" s="198">
        <f ca="1">IFERROR(__xludf.DUMMYFUNCTION("IMPORTRANGE(""https://docs.google.com/spreadsheets/d/11923uPwbBZFjjGgGUA6NLw09EwE0CqkOc4q9oUmW1yo/edit?usp=sharing"",""แพร่!J345"")"),20)</f>
        <v>20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IFERROR(__xludf.DUMMYFUNCTION("IMPORTRANGE(""https://docs.google.com/spreadsheets/d/11923uPwbBZFjjGgGUA6NLw09EwE0CqkOc4q9oUmW1yo/edit?usp=sharing"",""แพร่!I346"")"),0)</f>
        <v>0</v>
      </c>
      <c r="J451" s="197">
        <f ca="1">IFERROR(__xludf.DUMMYFUNCTION("IMPORTRANGE(""https://docs.google.com/spreadsheets/d/11923uPwbBZFjjGgGUA6NLw09EwE0CqkOc4q9oUmW1yo/edit?usp=sharing"",""แพร่!J346"")"),0)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IFERROR(__xludf.DUMMYFUNCTION("IMPORTRANGE(""https://docs.google.com/spreadsheets/d/11923uPwbBZFjjGgGUA6NLw09EwE0CqkOc4q9oUmW1yo/edit?usp=sharing"",""แพร่!I347"")"),0)</f>
        <v>0</v>
      </c>
      <c r="J452" s="197">
        <f ca="1">IFERROR(__xludf.DUMMYFUNCTION("IMPORTRANGE(""https://docs.google.com/spreadsheets/d/11923uPwbBZFjjGgGUA6NLw09EwE0CqkOc4q9oUmW1yo/edit?usp=sharing"",""แพร่!J347"")"),0)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IFERROR(__xludf.DUMMYFUNCTION("IMPORTRANGE(""https://docs.google.com/spreadsheets/d/11923uPwbBZFjjGgGUA6NLw09EwE0CqkOc4q9oUmW1yo/edit?usp=sharing"",""แพร่!J348"")"),0)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IFERROR(__xludf.DUMMYFUNCTION("IMPORTRANGE(""https://docs.google.com/spreadsheets/d/11923uPwbBZFjjGgGUA6NLw09EwE0CqkOc4q9oUmW1yo/edit?usp=sharing"",""แพร่!J349"")"),0)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IFERROR(__xludf.DUMMYFUNCTION("IMPORTRANGE(""https://docs.google.com/spreadsheets/d/11923uPwbBZFjjGgGUA6NLw09EwE0CqkOc4q9oUmW1yo/edit?usp=sharing"",""แพร่!I350"")"),4494)</f>
        <v>4494</v>
      </c>
      <c r="J455" s="379">
        <f ca="1">IFERROR(__xludf.DUMMYFUNCTION("IMPORTRANGE(""https://docs.google.com/spreadsheets/d/11923uPwbBZFjjGgGUA6NLw09EwE0CqkOc4q9oUmW1yo/edit?usp=sharing"",""แพร่!J350"")"),0)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IFERROR(__xludf.DUMMYFUNCTION("IMPORTRANGE(""https://docs.google.com/spreadsheets/d/11923uPwbBZFjjGgGUA6NLw09EwE0CqkOc4q9oUmW1yo/edit?usp=sharing"",""แพร่!L350"")"),87020)</f>
        <v>87020</v>
      </c>
      <c r="M455" s="381"/>
      <c r="N455" s="381">
        <f ca="1">IFERROR(__xludf.DUMMYFUNCTION("IMPORTRANGE(""https://docs.google.com/spreadsheets/d/11923uPwbBZFjjGgGUA6NLw09EwE0CqkOc4q9oUmW1yo/edit?usp=sharing"",""แพร่!M350"")"),6180)</f>
        <v>6180</v>
      </c>
      <c r="O455" s="381">
        <f t="shared" ref="O455:O459" ca="1" si="116">+IF(L455&gt;0,N455*100/L455,0)</f>
        <v>7.1018156745575727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IFERROR(__xludf.DUMMYFUNCTION("IMPORTRANGE(""https://docs.google.com/spreadsheets/d/11923uPwbBZFjjGgGUA6NLw09EwE0CqkOc4q9oUmW1yo/edit?usp=sharing"",""แพร่!L351"")"),0)</f>
        <v>0</v>
      </c>
      <c r="M456" s="172"/>
      <c r="N456" s="178">
        <f ca="1">IFERROR(__xludf.DUMMYFUNCTION("IMPORTRANGE(""https://docs.google.com/spreadsheets/d/11923uPwbBZFjjGgGUA6NLw09EwE0CqkOc4q9oUmW1yo/edit?usp=sharing"",""แพร่!M351"")"),0)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IFERROR(__xludf.DUMMYFUNCTION("IMPORTRANGE(""https://docs.google.com/spreadsheets/d/11923uPwbBZFjjGgGUA6NLw09EwE0CqkOc4q9oUmW1yo/edit?usp=sharing"",""แพร่!L352"")"),87020)</f>
        <v>87020</v>
      </c>
      <c r="M457" s="173"/>
      <c r="N457" s="178">
        <f ca="1">IFERROR(__xludf.DUMMYFUNCTION("IMPORTRANGE(""https://docs.google.com/spreadsheets/d/11923uPwbBZFjjGgGUA6NLw09EwE0CqkOc4q9oUmW1yo/edit?usp=sharing"",""แพร่!M352"")"),6180)</f>
        <v>6180</v>
      </c>
      <c r="O457" s="178">
        <f t="shared" ca="1" si="116"/>
        <v>7.1018156745575727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IFERROR(__xludf.DUMMYFUNCTION("IMPORTRANGE(""https://docs.google.com/spreadsheets/d/11923uPwbBZFjjGgGUA6NLw09EwE0CqkOc4q9oUmW1yo/edit?usp=sharing"",""แพร่!L353"")"),0)</f>
        <v>0</v>
      </c>
      <c r="M458" s="178"/>
      <c r="N458" s="178">
        <f ca="1">IFERROR(__xludf.DUMMYFUNCTION("IMPORTRANGE(""https://docs.google.com/spreadsheets/d/11923uPwbBZFjjGgGUA6NLw09EwE0CqkOc4q9oUmW1yo/edit?usp=sharing"",""แพร่!M353"")"),0)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IFERROR(__xludf.DUMMYFUNCTION("IMPORTRANGE(""https://docs.google.com/spreadsheets/d/11923uPwbBZFjjGgGUA6NLw09EwE0CqkOc4q9oUmW1yo/edit?usp=sharing"",""แพร่!L354"")"),87020)</f>
        <v>87020</v>
      </c>
      <c r="M459" s="178"/>
      <c r="N459" s="178">
        <f ca="1">IFERROR(__xludf.DUMMYFUNCTION("IMPORTRANGE(""https://docs.google.com/spreadsheets/d/11923uPwbBZFjjGgGUA6NLw09EwE0CqkOc4q9oUmW1yo/edit?usp=sharing"",""แพร่!M354"")"),6180)</f>
        <v>6180</v>
      </c>
      <c r="O459" s="178">
        <f t="shared" ca="1" si="116"/>
        <v>7.1018156745575727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IFERROR(__xludf.DUMMYFUNCTION("IMPORTRANGE(""https://docs.google.com/spreadsheets/d/11923uPwbBZFjjGgGUA6NLw09EwE0CqkOc4q9oUmW1yo/edit?usp=sharing"",""แพร่!M355"")"),0)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IFERROR(__xludf.DUMMYFUNCTION("IMPORTRANGE(""https://docs.google.com/spreadsheets/d/11923uPwbBZFjjGgGUA6NLw09EwE0CqkOc4q9oUmW1yo/edit?usp=sharing"",""แพร่!M356"")"),0)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IFERROR(__xludf.DUMMYFUNCTION("IMPORTRANGE(""https://docs.google.com/spreadsheets/d/11923uPwbBZFjjGgGUA6NLw09EwE0CqkOc4q9oUmW1yo/edit?usp=sharing"",""แพร่!M357"")"),0)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IFERROR(__xludf.DUMMYFUNCTION("IMPORTRANGE(""https://docs.google.com/spreadsheets/d/11923uPwbBZFjjGgGUA6NLw09EwE0CqkOc4q9oUmW1yo/edit?usp=sharing"",""แพร่!M358"")"),6180)</f>
        <v>6180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IFERROR(__xludf.DUMMYFUNCTION("IMPORTRANGE(""https://docs.google.com/spreadsheets/d/11923uPwbBZFjjGgGUA6NLw09EwE0CqkOc4q9oUmW1yo/edit?usp=sharing"",""แพร่!I359"")"),4494)</f>
        <v>4494</v>
      </c>
      <c r="J464" s="276">
        <f ca="1">IFERROR(__xludf.DUMMYFUNCTION("IMPORTRANGE(""https://docs.google.com/spreadsheets/d/11923uPwbBZFjjGgGUA6NLw09EwE0CqkOc4q9oUmW1yo/edit?usp=sharing"",""แพร่!J359"")"),0)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IFERROR(__xludf.DUMMYFUNCTION("IMPORTRANGE(""https://docs.google.com/spreadsheets/d/11923uPwbBZFjjGgGUA6NLw09EwE0CqkOc4q9oUmW1yo/edit?usp=sharing"",""แพร่!I360"")"),4494)</f>
        <v>4494</v>
      </c>
      <c r="J465" s="428">
        <f ca="1">IFERROR(__xludf.DUMMYFUNCTION("IMPORTRANGE(""https://docs.google.com/spreadsheets/d/11923uPwbBZFjjGgGUA6NLw09EwE0CqkOc4q9oUmW1yo/edit?usp=sharing"",""แพร่!J360"")"),2262)</f>
        <v>2262</v>
      </c>
      <c r="K465" s="211">
        <f t="shared" ca="1" si="117"/>
        <v>50.33377837116155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IFERROR(__xludf.DUMMYFUNCTION("IMPORTRANGE(""https://docs.google.com/spreadsheets/d/11923uPwbBZFjjGgGUA6NLw09EwE0CqkOc4q9oUmW1yo/edit?usp=sharing"",""แพร่!I361"")"),1189)</f>
        <v>1189</v>
      </c>
      <c r="J466" s="428">
        <f ca="1">IFERROR(__xludf.DUMMYFUNCTION("IMPORTRANGE(""https://docs.google.com/spreadsheets/d/11923uPwbBZFjjGgGUA6NLw09EwE0CqkOc4q9oUmW1yo/edit?usp=sharing"",""แพร่!J361"")"),527)</f>
        <v>527</v>
      </c>
      <c r="K466" s="211">
        <f t="shared" ca="1" si="117"/>
        <v>44.322960470984022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IFERROR(__xludf.DUMMYFUNCTION("IMPORTRANGE(""https://docs.google.com/spreadsheets/d/11923uPwbBZFjjGgGUA6NLw09EwE0CqkOc4q9oUmW1yo/edit?usp=sharing"",""แพร่!I362"")"),0)</f>
        <v>0</v>
      </c>
      <c r="J467" s="198">
        <f ca="1">IFERROR(__xludf.DUMMYFUNCTION("IMPORTRANGE(""https://docs.google.com/spreadsheets/d/11923uPwbBZFjjGgGUA6NLw09EwE0CqkOc4q9oUmW1yo/edit?usp=sharing"",""แพร่!J362"")"),1880)</f>
        <v>1880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IFERROR(__xludf.DUMMYFUNCTION("IMPORTRANGE(""https://docs.google.com/spreadsheets/d/11923uPwbBZFjjGgGUA6NLw09EwE0CqkOc4q9oUmW1yo/edit?usp=sharing"",""แพร่!I363"")"),0)</f>
        <v>0</v>
      </c>
      <c r="J468" s="198">
        <f ca="1">IFERROR(__xludf.DUMMYFUNCTION("IMPORTRANGE(""https://docs.google.com/spreadsheets/d/11923uPwbBZFjjGgGUA6NLw09EwE0CqkOc4q9oUmW1yo/edit?usp=sharing"",""แพร่!J363"")"),439)</f>
        <v>439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IFERROR(__xludf.DUMMYFUNCTION("IMPORTRANGE(""https://docs.google.com/spreadsheets/d/11923uPwbBZFjjGgGUA6NLw09EwE0CqkOc4q9oUmW1yo/edit?usp=sharing"",""แพร่!I364"")"),0)</f>
        <v>0</v>
      </c>
      <c r="J469" s="198">
        <f ca="1">IFERROR(__xludf.DUMMYFUNCTION("IMPORTRANGE(""https://docs.google.com/spreadsheets/d/11923uPwbBZFjjGgGUA6NLw09EwE0CqkOc4q9oUmW1yo/edit?usp=sharing"",""แพร่!J364"")"),304)</f>
        <v>304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IFERROR(__xludf.DUMMYFUNCTION("IMPORTRANGE(""https://docs.google.com/spreadsheets/d/11923uPwbBZFjjGgGUA6NLw09EwE0CqkOc4q9oUmW1yo/edit?usp=sharing"",""แพร่!I365"")"),0)</f>
        <v>0</v>
      </c>
      <c r="J470" s="198">
        <f ca="1">IFERROR(__xludf.DUMMYFUNCTION("IMPORTRANGE(""https://docs.google.com/spreadsheets/d/11923uPwbBZFjjGgGUA6NLw09EwE0CqkOc4q9oUmW1yo/edit?usp=sharing"",""แพร่!J365"")"),70)</f>
        <v>70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IFERROR(__xludf.DUMMYFUNCTION("IMPORTRANGE(""https://docs.google.com/spreadsheets/d/11923uPwbBZFjjGgGUA6NLw09EwE0CqkOc4q9oUmW1yo/edit?usp=sharing"",""แพร่!I366"")"),0)</f>
        <v>0</v>
      </c>
      <c r="J471" s="198">
        <f ca="1">IFERROR(__xludf.DUMMYFUNCTION("IMPORTRANGE(""https://docs.google.com/spreadsheets/d/11923uPwbBZFjjGgGUA6NLw09EwE0CqkOc4q9oUmW1yo/edit?usp=sharing"",""แพร่!J366"")"),78)</f>
        <v>78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IFERROR(__xludf.DUMMYFUNCTION("IMPORTRANGE(""https://docs.google.com/spreadsheets/d/11923uPwbBZFjjGgGUA6NLw09EwE0CqkOc4q9oUmW1yo/edit?usp=sharing"",""แพร่!I367"")"),0)</f>
        <v>0</v>
      </c>
      <c r="J472" s="198">
        <f ca="1">IFERROR(__xludf.DUMMYFUNCTION("IMPORTRANGE(""https://docs.google.com/spreadsheets/d/11923uPwbBZFjjGgGUA6NLw09EwE0CqkOc4q9oUmW1yo/edit?usp=sharing"",""แพร่!J367"")"),18)</f>
        <v>18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IFERROR(__xludf.DUMMYFUNCTION("IMPORTRANGE(""https://docs.google.com/spreadsheets/d/11923uPwbBZFjjGgGUA6NLw09EwE0CqkOc4q9oUmW1yo/edit?usp=sharing"",""แพร่!I368"")"),4494)</f>
        <v>4494</v>
      </c>
      <c r="J473" s="428">
        <f ca="1">IFERROR(__xludf.DUMMYFUNCTION("IMPORTRANGE(""https://docs.google.com/spreadsheets/d/11923uPwbBZFjjGgGUA6NLw09EwE0CqkOc4q9oUmW1yo/edit?usp=sharing"",""แพร่!J368"")"),0)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IFERROR(__xludf.DUMMYFUNCTION("IMPORTRANGE(""https://docs.google.com/spreadsheets/d/11923uPwbBZFjjGgGUA6NLw09EwE0CqkOc4q9oUmW1yo/edit?usp=sharing"",""แพร่!I369"")"),1189)</f>
        <v>1189</v>
      </c>
      <c r="J474" s="428">
        <f ca="1">IFERROR(__xludf.DUMMYFUNCTION("IMPORTRANGE(""https://docs.google.com/spreadsheets/d/11923uPwbBZFjjGgGUA6NLw09EwE0CqkOc4q9oUmW1yo/edit?usp=sharing"",""แพร่!J369"")"),0)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IFERROR(__xludf.DUMMYFUNCTION("IMPORTRANGE(""https://docs.google.com/spreadsheets/d/11923uPwbBZFjjGgGUA6NLw09EwE0CqkOc4q9oUmW1yo/edit?usp=sharing"",""แพร่!I370"")"),0)</f>
        <v>0</v>
      </c>
      <c r="J475" s="198">
        <f ca="1">IFERROR(__xludf.DUMMYFUNCTION("IMPORTRANGE(""https://docs.google.com/spreadsheets/d/11923uPwbBZFjjGgGUA6NLw09EwE0CqkOc4q9oUmW1yo/edit?usp=sharing"",""แพร่!J370"")"),0)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IFERROR(__xludf.DUMMYFUNCTION("IMPORTRANGE(""https://docs.google.com/spreadsheets/d/11923uPwbBZFjjGgGUA6NLw09EwE0CqkOc4q9oUmW1yo/edit?usp=sharing"",""แพร่!I371"")"),0)</f>
        <v>0</v>
      </c>
      <c r="J476" s="198">
        <f ca="1">IFERROR(__xludf.DUMMYFUNCTION("IMPORTRANGE(""https://docs.google.com/spreadsheets/d/11923uPwbBZFjjGgGUA6NLw09EwE0CqkOc4q9oUmW1yo/edit?usp=sharing"",""แพร่!J371"")"),0)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IFERROR(__xludf.DUMMYFUNCTION("IMPORTRANGE(""https://docs.google.com/spreadsheets/d/11923uPwbBZFjjGgGUA6NLw09EwE0CqkOc4q9oUmW1yo/edit?usp=sharing"",""แพร่!I372"")"),0)</f>
        <v>0</v>
      </c>
      <c r="J477" s="198">
        <f ca="1">IFERROR(__xludf.DUMMYFUNCTION("IMPORTRANGE(""https://docs.google.com/spreadsheets/d/11923uPwbBZFjjGgGUA6NLw09EwE0CqkOc4q9oUmW1yo/edit?usp=sharing"",""แพร่!J372"")"),0)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IFERROR(__xludf.DUMMYFUNCTION("IMPORTRANGE(""https://docs.google.com/spreadsheets/d/11923uPwbBZFjjGgGUA6NLw09EwE0CqkOc4q9oUmW1yo/edit?usp=sharing"",""แพร่!I373"")"),0)</f>
        <v>0</v>
      </c>
      <c r="J478" s="198">
        <f ca="1">IFERROR(__xludf.DUMMYFUNCTION("IMPORTRANGE(""https://docs.google.com/spreadsheets/d/11923uPwbBZFjjGgGUA6NLw09EwE0CqkOc4q9oUmW1yo/edit?usp=sharing"",""แพร่!J373"")"),0)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IFERROR(__xludf.DUMMYFUNCTION("IMPORTRANGE(""https://docs.google.com/spreadsheets/d/11923uPwbBZFjjGgGUA6NLw09EwE0CqkOc4q9oUmW1yo/edit?usp=sharing"",""แพร่!I374"")"),0)</f>
        <v>0</v>
      </c>
      <c r="J479" s="198">
        <f ca="1">IFERROR(__xludf.DUMMYFUNCTION("IMPORTRANGE(""https://docs.google.com/spreadsheets/d/11923uPwbBZFjjGgGUA6NLw09EwE0CqkOc4q9oUmW1yo/edit?usp=sharing"",""แพร่!J374"")"),0)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IFERROR(__xludf.DUMMYFUNCTION("IMPORTRANGE(""https://docs.google.com/spreadsheets/d/11923uPwbBZFjjGgGUA6NLw09EwE0CqkOc4q9oUmW1yo/edit?usp=sharing"",""แพร่!I375"")"),0)</f>
        <v>0</v>
      </c>
      <c r="J480" s="198">
        <f ca="1">IFERROR(__xludf.DUMMYFUNCTION("IMPORTRANGE(""https://docs.google.com/spreadsheets/d/11923uPwbBZFjjGgGUA6NLw09EwE0CqkOc4q9oUmW1yo/edit?usp=sharing"",""แพร่!J375"")"),0)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IFERROR(__xludf.DUMMYFUNCTION("IMPORTRANGE(""https://docs.google.com/spreadsheets/d/11923uPwbBZFjjGgGUA6NLw09EwE0CqkOc4q9oUmW1yo/edit?usp=sharing"",""แพร่!I376"")"),4494)</f>
        <v>4494</v>
      </c>
      <c r="J481" s="428">
        <f ca="1">IFERROR(__xludf.DUMMYFUNCTION("IMPORTRANGE(""https://docs.google.com/spreadsheets/d/11923uPwbBZFjjGgGUA6NLw09EwE0CqkOc4q9oUmW1yo/edit?usp=sharing"",""แพร่!J376"")"),0)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IFERROR(__xludf.DUMMYFUNCTION("IMPORTRANGE(""https://docs.google.com/spreadsheets/d/11923uPwbBZFjjGgGUA6NLw09EwE0CqkOc4q9oUmW1yo/edit?usp=sharing"",""แพร่!I377"")"),1189)</f>
        <v>1189</v>
      </c>
      <c r="J482" s="428">
        <f ca="1">IFERROR(__xludf.DUMMYFUNCTION("IMPORTRANGE(""https://docs.google.com/spreadsheets/d/11923uPwbBZFjjGgGUA6NLw09EwE0CqkOc4q9oUmW1yo/edit?usp=sharing"",""แพร่!J377"")"),0)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IFERROR(__xludf.DUMMYFUNCTION("IMPORTRANGE(""https://docs.google.com/spreadsheets/d/11923uPwbBZFjjGgGUA6NLw09EwE0CqkOc4q9oUmW1yo/edit?usp=sharing"",""แพร่!I378"")"),0)</f>
        <v>0</v>
      </c>
      <c r="J483" s="198">
        <f ca="1">IFERROR(__xludf.DUMMYFUNCTION("IMPORTRANGE(""https://docs.google.com/spreadsheets/d/11923uPwbBZFjjGgGUA6NLw09EwE0CqkOc4q9oUmW1yo/edit?usp=sharing"",""แพร่!J378"")"),0)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IFERROR(__xludf.DUMMYFUNCTION("IMPORTRANGE(""https://docs.google.com/spreadsheets/d/11923uPwbBZFjjGgGUA6NLw09EwE0CqkOc4q9oUmW1yo/edit?usp=sharing"",""แพร่!I379"")"),0)</f>
        <v>0</v>
      </c>
      <c r="J484" s="198">
        <f ca="1">IFERROR(__xludf.DUMMYFUNCTION("IMPORTRANGE(""https://docs.google.com/spreadsheets/d/11923uPwbBZFjjGgGUA6NLw09EwE0CqkOc4q9oUmW1yo/edit?usp=sharing"",""แพร่!J379"")"),0)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IFERROR(__xludf.DUMMYFUNCTION("IMPORTRANGE(""https://docs.google.com/spreadsheets/d/11923uPwbBZFjjGgGUA6NLw09EwE0CqkOc4q9oUmW1yo/edit?usp=sharing"",""แพร่!I380"")"),0)</f>
        <v>0</v>
      </c>
      <c r="J485" s="198">
        <f ca="1">IFERROR(__xludf.DUMMYFUNCTION("IMPORTRANGE(""https://docs.google.com/spreadsheets/d/11923uPwbBZFjjGgGUA6NLw09EwE0CqkOc4q9oUmW1yo/edit?usp=sharing"",""แพร่!J380"")"),0)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IFERROR(__xludf.DUMMYFUNCTION("IMPORTRANGE(""https://docs.google.com/spreadsheets/d/11923uPwbBZFjjGgGUA6NLw09EwE0CqkOc4q9oUmW1yo/edit?usp=sharing"",""แพร่!I381"")"),0)</f>
        <v>0</v>
      </c>
      <c r="J486" s="198">
        <f ca="1">IFERROR(__xludf.DUMMYFUNCTION("IMPORTRANGE(""https://docs.google.com/spreadsheets/d/11923uPwbBZFjjGgGUA6NLw09EwE0CqkOc4q9oUmW1yo/edit?usp=sharing"",""แพร่!J381"")"),0)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IFERROR(__xludf.DUMMYFUNCTION("IMPORTRANGE(""https://docs.google.com/spreadsheets/d/11923uPwbBZFjjGgGUA6NLw09EwE0CqkOc4q9oUmW1yo/edit?usp=sharing"",""แพร่!I382"")"),0)</f>
        <v>0</v>
      </c>
      <c r="J487" s="428">
        <f ca="1">IFERROR(__xludf.DUMMYFUNCTION("IMPORTRANGE(""https://docs.google.com/spreadsheets/d/11923uPwbBZFjjGgGUA6NLw09EwE0CqkOc4q9oUmW1yo/edit?usp=sharing"",""แพร่!J382"")"),0)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IFERROR(__xludf.DUMMYFUNCTION("IMPORTRANGE(""https://docs.google.com/spreadsheets/d/11923uPwbBZFjjGgGUA6NLw09EwE0CqkOc4q9oUmW1yo/edit?usp=sharing"",""แพร่!I383"")"),0)</f>
        <v>0</v>
      </c>
      <c r="J488" s="428">
        <f ca="1">IFERROR(__xludf.DUMMYFUNCTION("IMPORTRANGE(""https://docs.google.com/spreadsheets/d/11923uPwbBZFjjGgGUA6NLw09EwE0CqkOc4q9oUmW1yo/edit?usp=sharing"",""แพร่!J383"")"),0)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IFERROR(__xludf.DUMMYFUNCTION("IMPORTRANGE(""https://docs.google.com/spreadsheets/d/11923uPwbBZFjjGgGUA6NLw09EwE0CqkOc4q9oUmW1yo/edit?usp=sharing"",""แพร่!I384"")"),0)</f>
        <v>0</v>
      </c>
      <c r="J489" s="198">
        <f ca="1">IFERROR(__xludf.DUMMYFUNCTION("IMPORTRANGE(""https://docs.google.com/spreadsheets/d/11923uPwbBZFjjGgGUA6NLw09EwE0CqkOc4q9oUmW1yo/edit?usp=sharing"",""แพร่!J384"")"),0)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IFERROR(__xludf.DUMMYFUNCTION("IMPORTRANGE(""https://docs.google.com/spreadsheets/d/11923uPwbBZFjjGgGUA6NLw09EwE0CqkOc4q9oUmW1yo/edit?usp=sharing"",""แพร่!I385"")"),0)</f>
        <v>0</v>
      </c>
      <c r="J490" s="198">
        <f ca="1">IFERROR(__xludf.DUMMYFUNCTION("IMPORTRANGE(""https://docs.google.com/spreadsheets/d/11923uPwbBZFjjGgGUA6NLw09EwE0CqkOc4q9oUmW1yo/edit?usp=sharing"",""แพร่!J385"")"),0)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IFERROR(__xludf.DUMMYFUNCTION("IMPORTRANGE(""https://docs.google.com/spreadsheets/d/11923uPwbBZFjjGgGUA6NLw09EwE0CqkOc4q9oUmW1yo/edit?usp=sharing"",""แพร่!I386"")"),0)</f>
        <v>0</v>
      </c>
      <c r="J491" s="198">
        <f ca="1">IFERROR(__xludf.DUMMYFUNCTION("IMPORTRANGE(""https://docs.google.com/spreadsheets/d/11923uPwbBZFjjGgGUA6NLw09EwE0CqkOc4q9oUmW1yo/edit?usp=sharing"",""แพร่!J386"")"),0)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IFERROR(__xludf.DUMMYFUNCTION("IMPORTRANGE(""https://docs.google.com/spreadsheets/d/11923uPwbBZFjjGgGUA6NLw09EwE0CqkOc4q9oUmW1yo/edit?usp=sharing"",""แพร่!I387"")"),0)</f>
        <v>0</v>
      </c>
      <c r="J492" s="198">
        <f ca="1">IFERROR(__xludf.DUMMYFUNCTION("IMPORTRANGE(""https://docs.google.com/spreadsheets/d/11923uPwbBZFjjGgGUA6NLw09EwE0CqkOc4q9oUmW1yo/edit?usp=sharing"",""แพร่!J387"")"),0)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IFERROR(__xludf.DUMMYFUNCTION("IMPORTRANGE(""https://docs.google.com/spreadsheets/d/11923uPwbBZFjjGgGUA6NLw09EwE0CqkOc4q9oUmW1yo/edit?usp=sharing"",""แพร่!I388"")"),0)</f>
        <v>0</v>
      </c>
      <c r="J493" s="198">
        <f ca="1">IFERROR(__xludf.DUMMYFUNCTION("IMPORTRANGE(""https://docs.google.com/spreadsheets/d/11923uPwbBZFjjGgGUA6NLw09EwE0CqkOc4q9oUmW1yo/edit?usp=sharing"",""แพร่!J388"")"),0)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IFERROR(__xludf.DUMMYFUNCTION("IMPORTRANGE(""https://docs.google.com/spreadsheets/d/11923uPwbBZFjjGgGUA6NLw09EwE0CqkOc4q9oUmW1yo/edit?usp=sharing"",""แพร่!I389"")"),0)</f>
        <v>0</v>
      </c>
      <c r="J494" s="444">
        <f ca="1">IFERROR(__xludf.DUMMYFUNCTION("IMPORTRANGE(""https://docs.google.com/spreadsheets/d/11923uPwbBZFjjGgGUA6NLw09EwE0CqkOc4q9oUmW1yo/edit?usp=sharing"",""แพร่!J389"")"),0)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IFERROR(__xludf.DUMMYFUNCTION("IMPORTRANGE(""https://docs.google.com/spreadsheets/d/11923uPwbBZFjjGgGUA6NLw09EwE0CqkOc4q9oUmW1yo/edit?usp=sharing"",""แพร่!I390"")"),0)</f>
        <v>0</v>
      </c>
      <c r="J495" s="444">
        <f ca="1">IFERROR(__xludf.DUMMYFUNCTION("IMPORTRANGE(""https://docs.google.com/spreadsheets/d/11923uPwbBZFjjGgGUA6NLw09EwE0CqkOc4q9oUmW1yo/edit?usp=sharing"",""แพร่!J390"")"),0)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IFERROR(__xludf.DUMMYFUNCTION("IMPORTRANGE(""https://docs.google.com/spreadsheets/d/11923uPwbBZFjjGgGUA6NLw09EwE0CqkOc4q9oUmW1yo/edit?usp=sharing"",""แพร่!I391"")"),0)</f>
        <v>0</v>
      </c>
      <c r="J496" s="444">
        <f ca="1">IFERROR(__xludf.DUMMYFUNCTION("IMPORTRANGE(""https://docs.google.com/spreadsheets/d/11923uPwbBZFjjGgGUA6NLw09EwE0CqkOc4q9oUmW1yo/edit?usp=sharing"",""แพร่!J391"")"),0)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IFERROR(__xludf.DUMMYFUNCTION("IMPORTRANGE(""https://docs.google.com/spreadsheets/d/11923uPwbBZFjjGgGUA6NLw09EwE0CqkOc4q9oUmW1yo/edit?usp=sharing"",""แพร่!I392"")"),140)</f>
        <v>140</v>
      </c>
      <c r="J497" s="451">
        <f ca="1">IFERROR(__xludf.DUMMYFUNCTION("IMPORTRANGE(""https://docs.google.com/spreadsheets/d/11923uPwbBZFjjGgGUA6NLw09EwE0CqkOc4q9oUmW1yo/edit?usp=sharing"",""แพร่!J392"")"),0)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IFERROR(__xludf.DUMMYFUNCTION("IMPORTRANGE(""https://docs.google.com/spreadsheets/d/11923uPwbBZFjjGgGUA6NLw09EwE0CqkOc4q9oUmW1yo/edit?usp=sharing"",""แพร่!I393"")"),140)</f>
        <v>140</v>
      </c>
      <c r="J498" s="428">
        <f ca="1">IFERROR(__xludf.DUMMYFUNCTION("IMPORTRANGE(""https://docs.google.com/spreadsheets/d/11923uPwbBZFjjGgGUA6NLw09EwE0CqkOc4q9oUmW1yo/edit?usp=sharing"",""แพร่!J393"")"),0)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IFERROR(__xludf.DUMMYFUNCTION("IMPORTRANGE(""https://docs.google.com/spreadsheets/d/11923uPwbBZFjjGgGUA6NLw09EwE0CqkOc4q9oUmW1yo/edit?usp=sharing"",""แพร่!I394"")"),32)</f>
        <v>32</v>
      </c>
      <c r="J499" s="428">
        <f ca="1">IFERROR(__xludf.DUMMYFUNCTION("IMPORTRANGE(""https://docs.google.com/spreadsheets/d/11923uPwbBZFjjGgGUA6NLw09EwE0CqkOc4q9oUmW1yo/edit?usp=sharing"",""แพร่!J394"")"),0)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IFERROR(__xludf.DUMMYFUNCTION("IMPORTRANGE(""https://docs.google.com/spreadsheets/d/11923uPwbBZFjjGgGUA6NLw09EwE0CqkOc4q9oUmW1yo/edit?usp=sharing"",""แพร่!I395"")"),0)</f>
        <v>0</v>
      </c>
      <c r="J500" s="170">
        <f ca="1">IFERROR(__xludf.DUMMYFUNCTION("IMPORTRANGE(""https://docs.google.com/spreadsheets/d/11923uPwbBZFjjGgGUA6NLw09EwE0CqkOc4q9oUmW1yo/edit?usp=sharing"",""แพร่!J395"")"),0)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IFERROR(__xludf.DUMMYFUNCTION("IMPORTRANGE(""https://docs.google.com/spreadsheets/d/11923uPwbBZFjjGgGUA6NLw09EwE0CqkOc4q9oUmW1yo/edit?usp=sharing"",""แพร่!I396"")"),0)</f>
        <v>0</v>
      </c>
      <c r="J501" s="170">
        <f ca="1">IFERROR(__xludf.DUMMYFUNCTION("IMPORTRANGE(""https://docs.google.com/spreadsheets/d/11923uPwbBZFjjGgGUA6NLw09EwE0CqkOc4q9oUmW1yo/edit?usp=sharing"",""แพร่!J396"")"),0)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IFERROR(__xludf.DUMMYFUNCTION("IMPORTRANGE(""https://docs.google.com/spreadsheets/d/11923uPwbBZFjjGgGUA6NLw09EwE0CqkOc4q9oUmW1yo/edit?usp=sharing"",""แพร่!I397"")"),0)</f>
        <v>0</v>
      </c>
      <c r="J502" s="198">
        <f ca="1">IFERROR(__xludf.DUMMYFUNCTION("IMPORTRANGE(""https://docs.google.com/spreadsheets/d/11923uPwbBZFjjGgGUA6NLw09EwE0CqkOc4q9oUmW1yo/edit?usp=sharing"",""แพร่!J397"")"),0)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IFERROR(__xludf.DUMMYFUNCTION("IMPORTRANGE(""https://docs.google.com/spreadsheets/d/11923uPwbBZFjjGgGUA6NLw09EwE0CqkOc4q9oUmW1yo/edit?usp=sharing"",""แพร่!I398"")"),0)</f>
        <v>0</v>
      </c>
      <c r="J503" s="207">
        <f ca="1">IFERROR(__xludf.DUMMYFUNCTION("IMPORTRANGE(""https://docs.google.com/spreadsheets/d/11923uPwbBZFjjGgGUA6NLw09EwE0CqkOc4q9oUmW1yo/edit?usp=sharing"",""แพร่!J398"")"),0)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IFERROR(__xludf.DUMMYFUNCTION("IMPORTRANGE(""https://docs.google.com/spreadsheets/d/11923uPwbBZFjjGgGUA6NLw09EwE0CqkOc4q9oUmW1yo/edit?usp=sharing"",""แพร่!I399"")"),0)</f>
        <v>0</v>
      </c>
      <c r="J504" s="198">
        <f ca="1">IFERROR(__xludf.DUMMYFUNCTION("IMPORTRANGE(""https://docs.google.com/spreadsheets/d/11923uPwbBZFjjGgGUA6NLw09EwE0CqkOc4q9oUmW1yo/edit?usp=sharing"",""แพร่!J399"")"),0)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IFERROR(__xludf.DUMMYFUNCTION("IMPORTRANGE(""https://docs.google.com/spreadsheets/d/11923uPwbBZFjjGgGUA6NLw09EwE0CqkOc4q9oUmW1yo/edit?usp=sharing"",""แพร่!I400"")"),0)</f>
        <v>0</v>
      </c>
      <c r="J505" s="207">
        <f ca="1">IFERROR(__xludf.DUMMYFUNCTION("IMPORTRANGE(""https://docs.google.com/spreadsheets/d/11923uPwbBZFjjGgGUA6NLw09EwE0CqkOc4q9oUmW1yo/edit?usp=sharing"",""แพร่!J400"")"),0)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IFERROR(__xludf.DUMMYFUNCTION("IMPORTRANGE(""https://docs.google.com/spreadsheets/d/11923uPwbBZFjjGgGUA6NLw09EwE0CqkOc4q9oUmW1yo/edit?usp=sharing"",""แพร่!I401"")"),0)</f>
        <v>0</v>
      </c>
      <c r="J506" s="198">
        <f ca="1">IFERROR(__xludf.DUMMYFUNCTION("IMPORTRANGE(""https://docs.google.com/spreadsheets/d/11923uPwbBZFjjGgGUA6NLw09EwE0CqkOc4q9oUmW1yo/edit?usp=sharing"",""แพร่!J401"")"),0)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IFERROR(__xludf.DUMMYFUNCTION("IMPORTRANGE(""https://docs.google.com/spreadsheets/d/11923uPwbBZFjjGgGUA6NLw09EwE0CqkOc4q9oUmW1yo/edit?usp=sharing"",""แพร่!I402"")"),0)</f>
        <v>0</v>
      </c>
      <c r="J507" s="207">
        <f ca="1">IFERROR(__xludf.DUMMYFUNCTION("IMPORTRANGE(""https://docs.google.com/spreadsheets/d/11923uPwbBZFjjGgGUA6NLw09EwE0CqkOc4q9oUmW1yo/edit?usp=sharing"",""แพร่!J402"")"),0)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IFERROR(__xludf.DUMMYFUNCTION("IMPORTRANGE(""https://docs.google.com/spreadsheets/d/11923uPwbBZFjjGgGUA6NLw09EwE0CqkOc4q9oUmW1yo/edit?usp=sharing"",""แพร่!I403"")"),0)</f>
        <v>0</v>
      </c>
      <c r="J508" s="170">
        <f ca="1">IFERROR(__xludf.DUMMYFUNCTION("IMPORTRANGE(""https://docs.google.com/spreadsheets/d/11923uPwbBZFjjGgGUA6NLw09EwE0CqkOc4q9oUmW1yo/edit?usp=sharing"",""แพร่!J403"")"),0)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IFERROR(__xludf.DUMMYFUNCTION("IMPORTRANGE(""https://docs.google.com/spreadsheets/d/11923uPwbBZFjjGgGUA6NLw09EwE0CqkOc4q9oUmW1yo/edit?usp=sharing"",""แพร่!I404"")"),0)</f>
        <v>0</v>
      </c>
      <c r="J509" s="170">
        <f ca="1">IFERROR(__xludf.DUMMYFUNCTION("IMPORTRANGE(""https://docs.google.com/spreadsheets/d/11923uPwbBZFjjGgGUA6NLw09EwE0CqkOc4q9oUmW1yo/edit?usp=sharing"",""แพร่!J404"")"),0)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IFERROR(__xludf.DUMMYFUNCTION("IMPORTRANGE(""https://docs.google.com/spreadsheets/d/11923uPwbBZFjjGgGUA6NLw09EwE0CqkOc4q9oUmW1yo/edit?usp=sharing"",""แพร่!I405"")"),0)</f>
        <v>0</v>
      </c>
      <c r="J510" s="207">
        <f ca="1">IFERROR(__xludf.DUMMYFUNCTION("IMPORTRANGE(""https://docs.google.com/spreadsheets/d/11923uPwbBZFjjGgGUA6NLw09EwE0CqkOc4q9oUmW1yo/edit?usp=sharing"",""แพร่!J405"")"),0)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IFERROR(__xludf.DUMMYFUNCTION("IMPORTRANGE(""https://docs.google.com/spreadsheets/d/11923uPwbBZFjjGgGUA6NLw09EwE0CqkOc4q9oUmW1yo/edit?usp=sharing"",""แพร่!I406"")"),0)</f>
        <v>0</v>
      </c>
      <c r="J511" s="207">
        <f ca="1">IFERROR(__xludf.DUMMYFUNCTION("IMPORTRANGE(""https://docs.google.com/spreadsheets/d/11923uPwbBZFjjGgGUA6NLw09EwE0CqkOc4q9oUmW1yo/edit?usp=sharing"",""แพร่!J406"")"),0)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IFERROR(__xludf.DUMMYFUNCTION("IMPORTRANGE(""https://docs.google.com/spreadsheets/d/11923uPwbBZFjjGgGUA6NLw09EwE0CqkOc4q9oUmW1yo/edit?usp=sharing"",""แพร่!I407"")"),0)</f>
        <v>0</v>
      </c>
      <c r="J512" s="207">
        <f ca="1">IFERROR(__xludf.DUMMYFUNCTION("IMPORTRANGE(""https://docs.google.com/spreadsheets/d/11923uPwbBZFjjGgGUA6NLw09EwE0CqkOc4q9oUmW1yo/edit?usp=sharing"",""แพร่!J407"")"),0)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IFERROR(__xludf.DUMMYFUNCTION("IMPORTRANGE(""https://docs.google.com/spreadsheets/d/11923uPwbBZFjjGgGUA6NLw09EwE0CqkOc4q9oUmW1yo/edit?usp=sharing"",""แพร่!I408"")"),0)</f>
        <v>0</v>
      </c>
      <c r="J513" s="207">
        <f ca="1">IFERROR(__xludf.DUMMYFUNCTION("IMPORTRANGE(""https://docs.google.com/spreadsheets/d/11923uPwbBZFjjGgGUA6NLw09EwE0CqkOc4q9oUmW1yo/edit?usp=sharing"",""แพร่!J408"")"),0)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IFERROR(__xludf.DUMMYFUNCTION("IMPORTRANGE(""https://docs.google.com/spreadsheets/d/11923uPwbBZFjjGgGUA6NLw09EwE0CqkOc4q9oUmW1yo/edit?usp=sharing"",""แพร่!I409"")"),0)</f>
        <v>0</v>
      </c>
      <c r="J514" s="207">
        <f ca="1">IFERROR(__xludf.DUMMYFUNCTION("IMPORTRANGE(""https://docs.google.com/spreadsheets/d/11923uPwbBZFjjGgGUA6NLw09EwE0CqkOc4q9oUmW1yo/edit?usp=sharing"",""แพร่!J409"")"),0)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IFERROR(__xludf.DUMMYFUNCTION("IMPORTRANGE(""https://docs.google.com/spreadsheets/d/11923uPwbBZFjjGgGUA6NLw09EwE0CqkOc4q9oUmW1yo/edit?usp=sharing"",""แพร่!I410"")"),0)</f>
        <v>0</v>
      </c>
      <c r="J515" s="207">
        <f ca="1">IFERROR(__xludf.DUMMYFUNCTION("IMPORTRANGE(""https://docs.google.com/spreadsheets/d/11923uPwbBZFjjGgGUA6NLw09EwE0CqkOc4q9oUmW1yo/edit?usp=sharing"",""แพร่!J410"")"),0)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IFERROR(__xludf.DUMMYFUNCTION("IMPORTRANGE(""https://docs.google.com/spreadsheets/d/11923uPwbBZFjjGgGUA6NLw09EwE0CqkOc4q9oUmW1yo/edit?usp=sharing"",""แพร่!I411"")"),0)</f>
        <v>0</v>
      </c>
      <c r="J516" s="276">
        <f ca="1">IFERROR(__xludf.DUMMYFUNCTION("IMPORTRANGE(""https://docs.google.com/spreadsheets/d/11923uPwbBZFjjGgGUA6NLw09EwE0CqkOc4q9oUmW1yo/edit?usp=sharing"",""แพร่!J411"")"),0)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IFERROR(__xludf.DUMMYFUNCTION("IMPORTRANGE(""https://docs.google.com/spreadsheets/d/11923uPwbBZFjjGgGUA6NLw09EwE0CqkOc4q9oUmW1yo/edit?usp=sharing"",""แพร่!I412"")"),0)</f>
        <v>0</v>
      </c>
      <c r="J517" s="292">
        <f ca="1">IFERROR(__xludf.DUMMYFUNCTION("IMPORTRANGE(""https://docs.google.com/spreadsheets/d/11923uPwbBZFjjGgGUA6NLw09EwE0CqkOc4q9oUmW1yo/edit?usp=sharing"",""แพร่!J412"")"),0)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IFERROR(__xludf.DUMMYFUNCTION("IMPORTRANGE(""https://docs.google.com/spreadsheets/d/11923uPwbBZFjjGgGUA6NLw09EwE0CqkOc4q9oUmW1yo/edit?usp=sharing"",""แพร่!I413"")"),0)</f>
        <v>0</v>
      </c>
      <c r="J518" s="292">
        <f ca="1">IFERROR(__xludf.DUMMYFUNCTION("IMPORTRANGE(""https://docs.google.com/spreadsheets/d/11923uPwbBZFjjGgGUA6NLw09EwE0CqkOc4q9oUmW1yo/edit?usp=sharing"",""แพร่!J413"")"),0)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IFERROR(__xludf.DUMMYFUNCTION("IMPORTRANGE(""https://docs.google.com/spreadsheets/d/11923uPwbBZFjjGgGUA6NLw09EwE0CqkOc4q9oUmW1yo/edit?usp=sharing"",""แพร่!I414"")"),0)</f>
        <v>0</v>
      </c>
      <c r="J519" s="197">
        <f ca="1">IFERROR(__xludf.DUMMYFUNCTION("IMPORTRANGE(""https://docs.google.com/spreadsheets/d/11923uPwbBZFjjGgGUA6NLw09EwE0CqkOc4q9oUmW1yo/edit?usp=sharing"",""แพร่!J414"")"),0)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IFERROR(__xludf.DUMMYFUNCTION("IMPORTRANGE(""https://docs.google.com/spreadsheets/d/11923uPwbBZFjjGgGUA6NLw09EwE0CqkOc4q9oUmW1yo/edit?usp=sharing"",""แพร่!I415"")"),0)</f>
        <v>0</v>
      </c>
      <c r="J520" s="197">
        <f ca="1">IFERROR(__xludf.DUMMYFUNCTION("IMPORTRANGE(""https://docs.google.com/spreadsheets/d/11923uPwbBZFjjGgGUA6NLw09EwE0CqkOc4q9oUmW1yo/edit?usp=sharing"",""แพร่!J415"")"),0)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IFERROR(__xludf.DUMMYFUNCTION("IMPORTRANGE(""https://docs.google.com/spreadsheets/d/11923uPwbBZFjjGgGUA6NLw09EwE0CqkOc4q9oUmW1yo/edit?usp=sharing"",""แพร่!I416"")"),0)</f>
        <v>0</v>
      </c>
      <c r="J521" s="197">
        <f ca="1">IFERROR(__xludf.DUMMYFUNCTION("IMPORTRANGE(""https://docs.google.com/spreadsheets/d/11923uPwbBZFjjGgGUA6NLw09EwE0CqkOc4q9oUmW1yo/edit?usp=sharing"",""แพร่!J416"")"),0)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IFERROR(__xludf.DUMMYFUNCTION("IMPORTRANGE(""https://docs.google.com/spreadsheets/d/11923uPwbBZFjjGgGUA6NLw09EwE0CqkOc4q9oUmW1yo/edit?usp=sharing"",""แพร่!I417"")"),0)</f>
        <v>0</v>
      </c>
      <c r="J522" s="197">
        <f ca="1">IFERROR(__xludf.DUMMYFUNCTION("IMPORTRANGE(""https://docs.google.com/spreadsheets/d/11923uPwbBZFjjGgGUA6NLw09EwE0CqkOc4q9oUmW1yo/edit?usp=sharing"",""แพร่!J417"")"),0)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IFERROR(__xludf.DUMMYFUNCTION("IMPORTRANGE(""https://docs.google.com/spreadsheets/d/11923uPwbBZFjjGgGUA6NLw09EwE0CqkOc4q9oUmW1yo/edit?usp=sharing"",""แพร่!I418"")"),0)</f>
        <v>0</v>
      </c>
      <c r="J523" s="197">
        <f ca="1">IFERROR(__xludf.DUMMYFUNCTION("IMPORTRANGE(""https://docs.google.com/spreadsheets/d/11923uPwbBZFjjGgGUA6NLw09EwE0CqkOc4q9oUmW1yo/edit?usp=sharing"",""แพร่!J418"")"),0)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IFERROR(__xludf.DUMMYFUNCTION("IMPORTRANGE(""https://docs.google.com/spreadsheets/d/11923uPwbBZFjjGgGUA6NLw09EwE0CqkOc4q9oUmW1yo/edit?usp=sharing"",""แพร่!I419"")"),0)</f>
        <v>0</v>
      </c>
      <c r="J524" s="197">
        <f ca="1">IFERROR(__xludf.DUMMYFUNCTION("IMPORTRANGE(""https://docs.google.com/spreadsheets/d/11923uPwbBZFjjGgGUA6NLw09EwE0CqkOc4q9oUmW1yo/edit?usp=sharing"",""แพร่!J419"")"),0)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IFERROR(__xludf.DUMMYFUNCTION("IMPORTRANGE(""https://docs.google.com/spreadsheets/d/11923uPwbBZFjjGgGUA6NLw09EwE0CqkOc4q9oUmW1yo/edit?usp=sharing"",""แพร่!I420"")"),0)</f>
        <v>0</v>
      </c>
      <c r="J525" s="292">
        <f ca="1">IFERROR(__xludf.DUMMYFUNCTION("IMPORTRANGE(""https://docs.google.com/spreadsheets/d/11923uPwbBZFjjGgGUA6NLw09EwE0CqkOc4q9oUmW1yo/edit?usp=sharing"",""แพร่!J420"")"),0)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IFERROR(__xludf.DUMMYFUNCTION("IMPORTRANGE(""https://docs.google.com/spreadsheets/d/11923uPwbBZFjjGgGUA6NLw09EwE0CqkOc4q9oUmW1yo/edit?usp=sharing"",""แพร่!I421"")"),0)</f>
        <v>0</v>
      </c>
      <c r="J526" s="292">
        <f ca="1">IFERROR(__xludf.DUMMYFUNCTION("IMPORTRANGE(""https://docs.google.com/spreadsheets/d/11923uPwbBZFjjGgGUA6NLw09EwE0CqkOc4q9oUmW1yo/edit?usp=sharing"",""แพร่!J421"")"),0)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IFERROR(__xludf.DUMMYFUNCTION("IMPORTRANGE(""https://docs.google.com/spreadsheets/d/11923uPwbBZFjjGgGUA6NLw09EwE0CqkOc4q9oUmW1yo/edit?usp=sharing"",""แพร่!I422"")"),0)</f>
        <v>0</v>
      </c>
      <c r="J527" s="207">
        <f ca="1">IFERROR(__xludf.DUMMYFUNCTION("IMPORTRANGE(""https://docs.google.com/spreadsheets/d/11923uPwbBZFjjGgGUA6NLw09EwE0CqkOc4q9oUmW1yo/edit?usp=sharing"",""แพร่!J422"")"),0)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IFERROR(__xludf.DUMMYFUNCTION("IMPORTRANGE(""https://docs.google.com/spreadsheets/d/11923uPwbBZFjjGgGUA6NLw09EwE0CqkOc4q9oUmW1yo/edit?usp=sharing"",""แพร่!I423"")"),0)</f>
        <v>0</v>
      </c>
      <c r="J528" s="207">
        <f ca="1">IFERROR(__xludf.DUMMYFUNCTION("IMPORTRANGE(""https://docs.google.com/spreadsheets/d/11923uPwbBZFjjGgGUA6NLw09EwE0CqkOc4q9oUmW1yo/edit?usp=sharing"",""แพร่!J423"")"),0)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IFERROR(__xludf.DUMMYFUNCTION("IMPORTRANGE(""https://docs.google.com/spreadsheets/d/11923uPwbBZFjjGgGUA6NLw09EwE0CqkOc4q9oUmW1yo/edit?usp=sharing"",""แพร่!I424"")"),0)</f>
        <v>0</v>
      </c>
      <c r="J529" s="207">
        <f ca="1">IFERROR(__xludf.DUMMYFUNCTION("IMPORTRANGE(""https://docs.google.com/spreadsheets/d/11923uPwbBZFjjGgGUA6NLw09EwE0CqkOc4q9oUmW1yo/edit?usp=sharing"",""แพร่!J424"")"),0)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IFERROR(__xludf.DUMMYFUNCTION("IMPORTRANGE(""https://docs.google.com/spreadsheets/d/11923uPwbBZFjjGgGUA6NLw09EwE0CqkOc4q9oUmW1yo/edit?usp=sharing"",""แพร่!I425"")"),0)</f>
        <v>0</v>
      </c>
      <c r="J530" s="207">
        <f ca="1">IFERROR(__xludf.DUMMYFUNCTION("IMPORTRANGE(""https://docs.google.com/spreadsheets/d/11923uPwbBZFjjGgGUA6NLw09EwE0CqkOc4q9oUmW1yo/edit?usp=sharing"",""แพร่!J425"")"),0)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IFERROR(__xludf.DUMMYFUNCTION("IMPORTRANGE(""https://docs.google.com/spreadsheets/d/11923uPwbBZFjjGgGUA6NLw09EwE0CqkOc4q9oUmW1yo/edit?usp=sharing"",""แพร่!I426"")"),0)</f>
        <v>0</v>
      </c>
      <c r="J531" s="207">
        <f ca="1">IFERROR(__xludf.DUMMYFUNCTION("IMPORTRANGE(""https://docs.google.com/spreadsheets/d/11923uPwbBZFjjGgGUA6NLw09EwE0CqkOc4q9oUmW1yo/edit?usp=sharing"",""แพร่!J426"")"),0)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IFERROR(__xludf.DUMMYFUNCTION("IMPORTRANGE(""https://docs.google.com/spreadsheets/d/11923uPwbBZFjjGgGUA6NLw09EwE0CqkOc4q9oUmW1yo/edit?usp=sharing"",""แพร่!I427"")"),0)</f>
        <v>0</v>
      </c>
      <c r="J532" s="474">
        <f ca="1">IFERROR(__xludf.DUMMYFUNCTION("IMPORTRANGE(""https://docs.google.com/spreadsheets/d/11923uPwbBZFjjGgGUA6NLw09EwE0CqkOc4q9oUmW1yo/edit?usp=sharing"",""แพร่!J427"")"),0)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IFERROR(__xludf.DUMMYFUNCTION("IMPORTRANGE(""https://docs.google.com/spreadsheets/d/11923uPwbBZFjjGgGUA6NLw09EwE0CqkOc4q9oUmW1yo/edit?usp=sharing"",""แพร่!I428"")"),22)</f>
        <v>22</v>
      </c>
      <c r="J533" s="418">
        <f ca="1">IFERROR(__xludf.DUMMYFUNCTION("IMPORTRANGE(""https://docs.google.com/spreadsheets/d/11923uPwbBZFjjGgGUA6NLw09EwE0CqkOc4q9oUmW1yo/edit?usp=sharing"",""แพร่!J428"")"),22)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IFERROR(__xludf.DUMMYFUNCTION("IMPORTRANGE(""https://docs.google.com/spreadsheets/d/11923uPwbBZFjjGgGUA6NLw09EwE0CqkOc4q9oUmW1yo/edit?usp=sharing"",""แพร่!L428"")"),34340)</f>
        <v>34340</v>
      </c>
      <c r="M533" s="420"/>
      <c r="N533" s="420">
        <f ca="1">IFERROR(__xludf.DUMMYFUNCTION("IMPORTRANGE(""https://docs.google.com/spreadsheets/d/11923uPwbBZFjjGgGUA6NLw09EwE0CqkOc4q9oUmW1yo/edit?usp=sharing"",""แพร่!M428"")"),21312)</f>
        <v>21312</v>
      </c>
      <c r="O533" s="420">
        <f t="shared" ref="O533:O537" ca="1" si="118">+IF(L533&gt;0,N533*100/L533,0)</f>
        <v>62.061735585323241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IFERROR(__xludf.DUMMYFUNCTION("IMPORTRANGE(""https://docs.google.com/spreadsheets/d/11923uPwbBZFjjGgGUA6NLw09EwE0CqkOc4q9oUmW1yo/edit?usp=sharing"",""แพร่!L429"")"),0)</f>
        <v>0</v>
      </c>
      <c r="M534" s="172"/>
      <c r="N534" s="178">
        <f ca="1">IFERROR(__xludf.DUMMYFUNCTION("IMPORTRANGE(""https://docs.google.com/spreadsheets/d/11923uPwbBZFjjGgGUA6NLw09EwE0CqkOc4q9oUmW1yo/edit?usp=sharing"",""แพร่!M429"")"),0)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IFERROR(__xludf.DUMMYFUNCTION("IMPORTRANGE(""https://docs.google.com/spreadsheets/d/11923uPwbBZFjjGgGUA6NLw09EwE0CqkOc4q9oUmW1yo/edit?usp=sharing"",""แพร่!L430"")"),34340)</f>
        <v>34340</v>
      </c>
      <c r="M535" s="173"/>
      <c r="N535" s="178">
        <f ca="1">IFERROR(__xludf.DUMMYFUNCTION("IMPORTRANGE(""https://docs.google.com/spreadsheets/d/11923uPwbBZFjjGgGUA6NLw09EwE0CqkOc4q9oUmW1yo/edit?usp=sharing"",""แพร่!M430"")"),21312)</f>
        <v>21312</v>
      </c>
      <c r="O535" s="178">
        <f t="shared" ca="1" si="118"/>
        <v>62.061735585323241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IFERROR(__xludf.DUMMYFUNCTION("IMPORTRANGE(""https://docs.google.com/spreadsheets/d/11923uPwbBZFjjGgGUA6NLw09EwE0CqkOc4q9oUmW1yo/edit?usp=sharing"",""แพร่!L431"")"),0)</f>
        <v>0</v>
      </c>
      <c r="M536" s="178"/>
      <c r="N536" s="178">
        <f ca="1">IFERROR(__xludf.DUMMYFUNCTION("IMPORTRANGE(""https://docs.google.com/spreadsheets/d/11923uPwbBZFjjGgGUA6NLw09EwE0CqkOc4q9oUmW1yo/edit?usp=sharing"",""แพร่!M431"")"),0)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IFERROR(__xludf.DUMMYFUNCTION("IMPORTRANGE(""https://docs.google.com/spreadsheets/d/11923uPwbBZFjjGgGUA6NLw09EwE0CqkOc4q9oUmW1yo/edit?usp=sharing"",""แพร่!L432"")"),34340)</f>
        <v>34340</v>
      </c>
      <c r="M537" s="178"/>
      <c r="N537" s="178">
        <f ca="1">IFERROR(__xludf.DUMMYFUNCTION("IMPORTRANGE(""https://docs.google.com/spreadsheets/d/11923uPwbBZFjjGgGUA6NLw09EwE0CqkOc4q9oUmW1yo/edit?usp=sharing"",""แพร่!M432"")"),21312)</f>
        <v>21312</v>
      </c>
      <c r="O537" s="178">
        <f t="shared" ca="1" si="118"/>
        <v>62.061735585323241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IFERROR(__xludf.DUMMYFUNCTION("IMPORTRANGE(""https://docs.google.com/spreadsheets/d/11923uPwbBZFjjGgGUA6NLw09EwE0CqkOc4q9oUmW1yo/edit?usp=sharing"",""แพร่!M433"")"),17860)</f>
        <v>17860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IFERROR(__xludf.DUMMYFUNCTION("IMPORTRANGE(""https://docs.google.com/spreadsheets/d/11923uPwbBZFjjGgGUA6NLw09EwE0CqkOc4q9oUmW1yo/edit?usp=sharing"",""แพร่!M434"")"),0)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IFERROR(__xludf.DUMMYFUNCTION("IMPORTRANGE(""https://docs.google.com/spreadsheets/d/11923uPwbBZFjjGgGUA6NLw09EwE0CqkOc4q9oUmW1yo/edit?usp=sharing"",""แพร่!M435"")"),0)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IFERROR(__xludf.DUMMYFUNCTION("IMPORTRANGE(""https://docs.google.com/spreadsheets/d/11923uPwbBZFjjGgGUA6NLw09EwE0CqkOc4q9oUmW1yo/edit?usp=sharing"",""แพร่!M436"")"),3452)</f>
        <v>3452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IFERROR(__xludf.DUMMYFUNCTION("IMPORTRANGE(""https://docs.google.com/spreadsheets/d/11923uPwbBZFjjGgGUA6NLw09EwE0CqkOc4q9oUmW1yo/edit?usp=sharing"",""แพร่!J438"")"),0)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IFERROR(__xludf.DUMMYFUNCTION("IMPORTRANGE(""https://docs.google.com/spreadsheets/d/11923uPwbBZFjjGgGUA6NLw09EwE0CqkOc4q9oUmW1yo/edit?usp=sharing"",""แพร่!J439"")"),1)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IFERROR(__xludf.DUMMYFUNCTION("IMPORTRANGE(""https://docs.google.com/spreadsheets/d/11923uPwbBZFjjGgGUA6NLw09EwE0CqkOc4q9oUmW1yo/edit?usp=sharing"",""แพร่!J440"")"),1)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IFERROR(__xludf.DUMMYFUNCTION("IMPORTRANGE(""https://docs.google.com/spreadsheets/d/11923uPwbBZFjjGgGUA6NLw09EwE0CqkOc4q9oUmW1yo/edit?usp=sharing"",""แพร่!J441"")"),1)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IFERROR(__xludf.DUMMYFUNCTION("IMPORTRANGE(""https://docs.google.com/spreadsheets/d/11923uPwbBZFjjGgGUA6NLw09EwE0CqkOc4q9oUmW1yo/edit?usp=sharing"",""แพร่!I442"")"),22)</f>
        <v>22</v>
      </c>
      <c r="J547" s="198">
        <f ca="1">IFERROR(__xludf.DUMMYFUNCTION("IMPORTRANGE(""https://docs.google.com/spreadsheets/d/11923uPwbBZFjjGgGUA6NLw09EwE0CqkOc4q9oUmW1yo/edit?usp=sharing"",""แพร่!J442"")"),22)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IFERROR(__xludf.DUMMYFUNCTION("IMPORTRANGE(""https://docs.google.com/spreadsheets/d/11923uPwbBZFjjGgGUA6NLw09EwE0CqkOc4q9oUmW1yo/edit?usp=sharing"",""แพร่!J166"")"),0)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IFERROR(__xludf.DUMMYFUNCTION("IMPORTRANGE(""https://docs.google.com/spreadsheets/d/11923uPwbBZFjjGgGUA6NLw09EwE0CqkOc4q9oUmW1yo/edit?usp=sharing"",""แพร่!J444"")"),0)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IFERROR(__xludf.DUMMYFUNCTION("IMPORTRANGE(""https://docs.google.com/spreadsheets/d/11923uPwbBZFjjGgGUA6NLw09EwE0CqkOc4q9oUmW1yo/edit?usp=sharing"",""แพร่!J445"")"),0)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IFERROR(__xludf.DUMMYFUNCTION("IMPORTRANGE(""https://docs.google.com/spreadsheets/d/11923uPwbBZFjjGgGUA6NLw09EwE0CqkOc4q9oUmW1yo/edit?usp=sharing"",""แพร่!I446"")"),0)</f>
        <v>0</v>
      </c>
      <c r="J551" s="418">
        <f ca="1">IFERROR(__xludf.DUMMYFUNCTION("IMPORTRANGE(""https://docs.google.com/spreadsheets/d/11923uPwbBZFjjGgGUA6NLw09EwE0CqkOc4q9oUmW1yo/edit?usp=sharing"",""แพร่!J446"")"),0)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IFERROR(__xludf.DUMMYFUNCTION("IMPORTRANGE(""https://docs.google.com/spreadsheets/d/11923uPwbBZFjjGgGUA6NLw09EwE0CqkOc4q9oUmW1yo/edit?usp=sharing"",""แพร่!L446"")"),0)</f>
        <v>0</v>
      </c>
      <c r="M551" s="420"/>
      <c r="N551" s="420">
        <f ca="1">IFERROR(__xludf.DUMMYFUNCTION("IMPORTRANGE(""https://docs.google.com/spreadsheets/d/11923uPwbBZFjjGgGUA6NLw09EwE0CqkOc4q9oUmW1yo/edit?usp=sharing"",""แพร่!M446"")"),0)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IFERROR(__xludf.DUMMYFUNCTION("IMPORTRANGE(""https://docs.google.com/spreadsheets/d/11923uPwbBZFjjGgGUA6NLw09EwE0CqkOc4q9oUmW1yo/edit?usp=sharing"",""แพร่!L447"")"),0)</f>
        <v>0</v>
      </c>
      <c r="M552" s="172"/>
      <c r="N552" s="178">
        <f ca="1">IFERROR(__xludf.DUMMYFUNCTION("IMPORTRANGE(""https://docs.google.com/spreadsheets/d/11923uPwbBZFjjGgGUA6NLw09EwE0CqkOc4q9oUmW1yo/edit?usp=sharing"",""แพร่!M447"")"),0)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IFERROR(__xludf.DUMMYFUNCTION("IMPORTRANGE(""https://docs.google.com/spreadsheets/d/11923uPwbBZFjjGgGUA6NLw09EwE0CqkOc4q9oUmW1yo/edit?usp=sharing"",""แพร่!L448"")"),0)</f>
        <v>0</v>
      </c>
      <c r="M553" s="173"/>
      <c r="N553" s="178">
        <f ca="1">IFERROR(__xludf.DUMMYFUNCTION("IMPORTRANGE(""https://docs.google.com/spreadsheets/d/11923uPwbBZFjjGgGUA6NLw09EwE0CqkOc4q9oUmW1yo/edit?usp=sharing"",""แพร่!M448"")"),0)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IFERROR(__xludf.DUMMYFUNCTION("IMPORTRANGE(""https://docs.google.com/spreadsheets/d/11923uPwbBZFjjGgGUA6NLw09EwE0CqkOc4q9oUmW1yo/edit?usp=sharing"",""แพร่!L449"")"),0)</f>
        <v>0</v>
      </c>
      <c r="M554" s="178"/>
      <c r="N554" s="178">
        <f ca="1">IFERROR(__xludf.DUMMYFUNCTION("IMPORTRANGE(""https://docs.google.com/spreadsheets/d/11923uPwbBZFjjGgGUA6NLw09EwE0CqkOc4q9oUmW1yo/edit?usp=sharing"",""แพร่!M449"")"),0)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IFERROR(__xludf.DUMMYFUNCTION("IMPORTRANGE(""https://docs.google.com/spreadsheets/d/11923uPwbBZFjjGgGUA6NLw09EwE0CqkOc4q9oUmW1yo/edit?usp=sharing"",""แพร่!L450"")"),0)</f>
        <v>0</v>
      </c>
      <c r="M555" s="178"/>
      <c r="N555" s="178">
        <f ca="1">IFERROR(__xludf.DUMMYFUNCTION("IMPORTRANGE(""https://docs.google.com/spreadsheets/d/11923uPwbBZFjjGgGUA6NLw09EwE0CqkOc4q9oUmW1yo/edit?usp=sharing"",""แพร่!M450"")"),0)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IFERROR(__xludf.DUMMYFUNCTION("IMPORTRANGE(""https://docs.google.com/spreadsheets/d/11923uPwbBZFjjGgGUA6NLw09EwE0CqkOc4q9oUmW1yo/edit?usp=sharing"",""แพร่!M451"")"),0)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IFERROR(__xludf.DUMMYFUNCTION("IMPORTRANGE(""https://docs.google.com/spreadsheets/d/11923uPwbBZFjjGgGUA6NLw09EwE0CqkOc4q9oUmW1yo/edit?usp=sharing"",""แพร่!M452"")"),0)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IFERROR(__xludf.DUMMYFUNCTION("IMPORTRANGE(""https://docs.google.com/spreadsheets/d/11923uPwbBZFjjGgGUA6NLw09EwE0CqkOc4q9oUmW1yo/edit?usp=sharing"",""แพร่!M453"")"),0)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IFERROR(__xludf.DUMMYFUNCTION("IMPORTRANGE(""https://docs.google.com/spreadsheets/d/11923uPwbBZFjjGgGUA6NLw09EwE0CqkOc4q9oUmW1yo/edit?usp=sharing"",""แพร่!M454"")"),0)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IFERROR(__xludf.DUMMYFUNCTION("IMPORTRANGE(""https://docs.google.com/spreadsheets/d/11923uPwbBZFjjGgGUA6NLw09EwE0CqkOc4q9oUmW1yo/edit?usp=sharing"",""แพร่!I455"")"),0)</f>
        <v>0</v>
      </c>
      <c r="J560" s="170">
        <f ca="1">IFERROR(__xludf.DUMMYFUNCTION("IMPORTRANGE(""https://docs.google.com/spreadsheets/d/11923uPwbBZFjjGgGUA6NLw09EwE0CqkOc4q9oUmW1yo/edit?usp=sharing"",""แพร่!J455"")"),0)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IFERROR(__xludf.DUMMYFUNCTION("IMPORTRANGE(""https://docs.google.com/spreadsheets/d/11923uPwbBZFjjGgGUA6NLw09EwE0CqkOc4q9oUmW1yo/edit?usp=sharing"",""แพร่!I456"")"),0)</f>
        <v>0</v>
      </c>
      <c r="J561" s="213">
        <f ca="1">IFERROR(__xludf.DUMMYFUNCTION("IMPORTRANGE(""https://docs.google.com/spreadsheets/d/11923uPwbBZFjjGgGUA6NLw09EwE0CqkOc4q9oUmW1yo/edit?usp=sharing"",""แพร่!J456"")"),0)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 t="str">
        <f ca="1">IFERROR(__xludf.DUMMYFUNCTION("IMPORTRANGE(""https://docs.google.com/spreadsheets/d/11923uPwbBZFjjGgGUA6NLw09EwE0CqkOc4q9oUmW1yo/edit?usp=sharing"",""แพร่!I457"")"),"")</f>
        <v/>
      </c>
      <c r="J562" s="213" t="str">
        <f ca="1">IFERROR(__xludf.DUMMYFUNCTION("IMPORTRANGE(""https://docs.google.com/spreadsheets/d/11923uPwbBZFjjGgGUA6NLw09EwE0CqkOc4q9oUmW1yo/edit?usp=sharing"",""แพร่!J457"")"),"")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 t="str">
        <f ca="1">IFERROR(__xludf.DUMMYFUNCTION("IMPORTRANGE(""https://docs.google.com/spreadsheets/d/11923uPwbBZFjjGgGUA6NLw09EwE0CqkOc4q9oUmW1yo/edit?usp=sharing"",""แพร่!I458"")"),"")</f>
        <v/>
      </c>
      <c r="J563" s="197" t="str">
        <f ca="1">IFERROR(__xludf.DUMMYFUNCTION("IMPORTRANGE(""https://docs.google.com/spreadsheets/d/11923uPwbBZFjjGgGUA6NLw09EwE0CqkOc4q9oUmW1yo/edit?usp=sharing"",""แพร่!J458"")"),"")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IFERROR(__xludf.DUMMYFUNCTION("IMPORTRANGE(""https://docs.google.com/spreadsheets/d/11923uPwbBZFjjGgGUA6NLw09EwE0CqkOc4q9oUmW1yo/edit?usp=sharing"",""แพร่!I459"")"),1200)</f>
        <v>1200</v>
      </c>
      <c r="J564" s="379">
        <f ca="1">IFERROR(__xludf.DUMMYFUNCTION("IMPORTRANGE(""https://docs.google.com/spreadsheets/d/11923uPwbBZFjjGgGUA6NLw09EwE0CqkOc4q9oUmW1yo/edit?usp=sharing"",""แพร่!J459"")"),780)</f>
        <v>780</v>
      </c>
      <c r="K564" s="380">
        <f t="shared" ca="1" si="121"/>
        <v>65</v>
      </c>
      <c r="L564" s="381">
        <f ca="1">IFERROR(__xludf.DUMMYFUNCTION("IMPORTRANGE(""https://docs.google.com/spreadsheets/d/11923uPwbBZFjjGgGUA6NLw09EwE0CqkOc4q9oUmW1yo/edit?usp=sharing"",""แพร่!L459"")"),126480)</f>
        <v>126480</v>
      </c>
      <c r="M564" s="381"/>
      <c r="N564" s="381">
        <f ca="1">IFERROR(__xludf.DUMMYFUNCTION("IMPORTRANGE(""https://docs.google.com/spreadsheets/d/11923uPwbBZFjjGgGUA6NLw09EwE0CqkOc4q9oUmW1yo/edit?usp=sharing"",""แพร่!M459"")"),23113)</f>
        <v>23113</v>
      </c>
      <c r="O564" s="381">
        <f t="shared" ref="O564:O568" ca="1" si="122">+IF(L564&gt;0,N564*100/L564,0)</f>
        <v>18.27403542061986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IFERROR(__xludf.DUMMYFUNCTION("IMPORTRANGE(""https://docs.google.com/spreadsheets/d/11923uPwbBZFjjGgGUA6NLw09EwE0CqkOc4q9oUmW1yo/edit?usp=sharing"",""แพร่!L460"")"),0)</f>
        <v>0</v>
      </c>
      <c r="M565" s="172"/>
      <c r="N565" s="178">
        <f ca="1">IFERROR(__xludf.DUMMYFUNCTION("IMPORTRANGE(""https://docs.google.com/spreadsheets/d/11923uPwbBZFjjGgGUA6NLw09EwE0CqkOc4q9oUmW1yo/edit?usp=sharing"",""แพร่!M460"")"),0)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IFERROR(__xludf.DUMMYFUNCTION("IMPORTRANGE(""https://docs.google.com/spreadsheets/d/11923uPwbBZFjjGgGUA6NLw09EwE0CqkOc4q9oUmW1yo/edit?usp=sharing"",""แพร่!L461"")"),126480)</f>
        <v>126480</v>
      </c>
      <c r="M566" s="173"/>
      <c r="N566" s="178">
        <f ca="1">IFERROR(__xludf.DUMMYFUNCTION("IMPORTRANGE(""https://docs.google.com/spreadsheets/d/11923uPwbBZFjjGgGUA6NLw09EwE0CqkOc4q9oUmW1yo/edit?usp=sharing"",""แพร่!M461"")"),23113)</f>
        <v>23113</v>
      </c>
      <c r="O566" s="178">
        <f t="shared" ca="1" si="122"/>
        <v>18.27403542061986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IFERROR(__xludf.DUMMYFUNCTION("IMPORTRANGE(""https://docs.google.com/spreadsheets/d/11923uPwbBZFjjGgGUA6NLw09EwE0CqkOc4q9oUmW1yo/edit?usp=sharing"",""แพร่!L462"")"),0)</f>
        <v>0</v>
      </c>
      <c r="M567" s="178"/>
      <c r="N567" s="178">
        <f ca="1">IFERROR(__xludf.DUMMYFUNCTION("IMPORTRANGE(""https://docs.google.com/spreadsheets/d/11923uPwbBZFjjGgGUA6NLw09EwE0CqkOc4q9oUmW1yo/edit?usp=sharing"",""แพร่!M462"")"),0)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IFERROR(__xludf.DUMMYFUNCTION("IMPORTRANGE(""https://docs.google.com/spreadsheets/d/11923uPwbBZFjjGgGUA6NLw09EwE0CqkOc4q9oUmW1yo/edit?usp=sharing"",""แพร่!L463"")"),126480)</f>
        <v>126480</v>
      </c>
      <c r="M568" s="178"/>
      <c r="N568" s="178">
        <f ca="1">IFERROR(__xludf.DUMMYFUNCTION("IMPORTRANGE(""https://docs.google.com/spreadsheets/d/11923uPwbBZFjjGgGUA6NLw09EwE0CqkOc4q9oUmW1yo/edit?usp=sharing"",""แพร่!M463"")"),23113)</f>
        <v>23113</v>
      </c>
      <c r="O568" s="178">
        <f t="shared" ca="1" si="122"/>
        <v>18.27403542061986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IFERROR(__xludf.DUMMYFUNCTION("IMPORTRANGE(""https://docs.google.com/spreadsheets/d/11923uPwbBZFjjGgGUA6NLw09EwE0CqkOc4q9oUmW1yo/edit?usp=sharing"",""แพร่!M464"")"),0)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IFERROR(__xludf.DUMMYFUNCTION("IMPORTRANGE(""https://docs.google.com/spreadsheets/d/11923uPwbBZFjjGgGUA6NLw09EwE0CqkOc4q9oUmW1yo/edit?usp=sharing"",""แพร่!M465"")"),0)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IFERROR(__xludf.DUMMYFUNCTION("IMPORTRANGE(""https://docs.google.com/spreadsheets/d/11923uPwbBZFjjGgGUA6NLw09EwE0CqkOc4q9oUmW1yo/edit?usp=sharing"",""แพร่!M466"")"),9899)</f>
        <v>9899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IFERROR(__xludf.DUMMYFUNCTION("IMPORTRANGE(""https://docs.google.com/spreadsheets/d/11923uPwbBZFjjGgGUA6NLw09EwE0CqkOc4q9oUmW1yo/edit?usp=sharing"",""แพร่!M467"")"),13214)</f>
        <v>13214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IFERROR(__xludf.DUMMYFUNCTION("IMPORTRANGE(""https://docs.google.com/spreadsheets/d/11923uPwbBZFjjGgGUA6NLw09EwE0CqkOc4q9oUmW1yo/edit?usp=sharing"",""แพร่!I468"")"),1200)</f>
        <v>1200</v>
      </c>
      <c r="J573" s="428">
        <f ca="1">IFERROR(__xludf.DUMMYFUNCTION("IMPORTRANGE(""https://docs.google.com/spreadsheets/d/11923uPwbBZFjjGgGUA6NLw09EwE0CqkOc4q9oUmW1yo/edit?usp=sharing"",""แพร่!J468"")"),780)</f>
        <v>780</v>
      </c>
      <c r="K573" s="211">
        <f ca="1">IF(I573&gt;0,J573*100/I573,0)</f>
        <v>65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IFERROR(__xludf.DUMMYFUNCTION("IMPORTRANGE(""https://docs.google.com/spreadsheets/d/11923uPwbBZFjjGgGUA6NLw09EwE0CqkOc4q9oUmW1yo/edit?usp=sharing"",""แพร่!I470"")"),0)</f>
        <v>0</v>
      </c>
      <c r="J575" s="207">
        <f ca="1">IFERROR(__xludf.DUMMYFUNCTION("IMPORTRANGE(""https://docs.google.com/spreadsheets/d/11923uPwbBZFjjGgGUA6NLw09EwE0CqkOc4q9oUmW1yo/edit?usp=sharing"",""แพร่!J470"")"),3)</f>
        <v>3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IFERROR(__xludf.DUMMYFUNCTION("IMPORTRANGE(""https://docs.google.com/spreadsheets/d/11923uPwbBZFjjGgGUA6NLw09EwE0CqkOc4q9oUmW1yo/edit?usp=sharing"",""แพร่!I471"")"),0)</f>
        <v>0</v>
      </c>
      <c r="J576" s="207">
        <f ca="1">IFERROR(__xludf.DUMMYFUNCTION("IMPORTRANGE(""https://docs.google.com/spreadsheets/d/11923uPwbBZFjjGgGUA6NLw09EwE0CqkOc4q9oUmW1yo/edit?usp=sharing"",""แพร่!J471"")"),158)</f>
        <v>158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IFERROR(__xludf.DUMMYFUNCTION("IMPORTRANGE(""https://docs.google.com/spreadsheets/d/11923uPwbBZFjjGgGUA6NLw09EwE0CqkOc4q9oUmW1yo/edit?usp=sharing"",""แพร่!I472"")"),0)</f>
        <v>0</v>
      </c>
      <c r="J577" s="198">
        <f ca="1">IFERROR(__xludf.DUMMYFUNCTION("IMPORTRANGE(""https://docs.google.com/spreadsheets/d/11923uPwbBZFjjGgGUA6NLw09EwE0CqkOc4q9oUmW1yo/edit?usp=sharing"",""แพร่!J472"")"),622)</f>
        <v>622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IFERROR(__xludf.DUMMYFUNCTION("IMPORTRANGE(""https://docs.google.com/spreadsheets/d/11923uPwbBZFjjGgGUA6NLw09EwE0CqkOc4q9oUmW1yo/edit?usp=sharing"",""แพร่!I473"")"),0)</f>
        <v>0</v>
      </c>
      <c r="J578" s="207">
        <f ca="1">IFERROR(__xludf.DUMMYFUNCTION("IMPORTRANGE(""https://docs.google.com/spreadsheets/d/11923uPwbBZFjjGgGUA6NLw09EwE0CqkOc4q9oUmW1yo/edit?usp=sharing"",""แพร่!J473"")"),0)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IFERROR(__xludf.DUMMYFUNCTION("IMPORTRANGE(""https://docs.google.com/spreadsheets/d/11923uPwbBZFjjGgGUA6NLw09EwE0CqkOc4q9oUmW1yo/edit?usp=sharing"",""แพร่!I474"")"),0)</f>
        <v>0</v>
      </c>
      <c r="J579" s="207">
        <f ca="1">IFERROR(__xludf.DUMMYFUNCTION("IMPORTRANGE(""https://docs.google.com/spreadsheets/d/11923uPwbBZFjjGgGUA6NLw09EwE0CqkOc4q9oUmW1yo/edit?usp=sharing"",""แพร่!J474"")"),0)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IFERROR(__xludf.DUMMYFUNCTION("IMPORTRANGE(""https://docs.google.com/spreadsheets/d/11923uPwbBZFjjGgGUA6NLw09EwE0CqkOc4q9oUmW1yo/edit?usp=sharing"",""แพร่!I475"")"),0)</f>
        <v>0</v>
      </c>
      <c r="J580" s="379">
        <f ca="1">IFERROR(__xludf.DUMMYFUNCTION("IMPORTRANGE(""https://docs.google.com/spreadsheets/d/11923uPwbBZFjjGgGUA6NLw09EwE0CqkOc4q9oUmW1yo/edit?usp=sharing"",""แพร่!J475"")"),2)</f>
        <v>2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IFERROR(__xludf.DUMMYFUNCTION("IMPORTRANGE(""https://docs.google.com/spreadsheets/d/11923uPwbBZFjjGgGUA6NLw09EwE0CqkOc4q9oUmW1yo/edit?usp=sharing"",""แพร่!L475"")"),0)</f>
        <v>0</v>
      </c>
      <c r="M580" s="381"/>
      <c r="N580" s="381">
        <f ca="1">IFERROR(__xludf.DUMMYFUNCTION("IMPORTRANGE(""https://docs.google.com/spreadsheets/d/11923uPwbBZFjjGgGUA6NLw09EwE0CqkOc4q9oUmW1yo/edit?usp=sharing"",""แพร่!M475"")"),0)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IFERROR(__xludf.DUMMYFUNCTION("IMPORTRANGE(""https://docs.google.com/spreadsheets/d/11923uPwbBZFjjGgGUA6NLw09EwE0CqkOc4q9oUmW1yo/edit?usp=sharing"",""แพร่!L476"")"),0)</f>
        <v>0</v>
      </c>
      <c r="M581" s="172"/>
      <c r="N581" s="178">
        <f ca="1">IFERROR(__xludf.DUMMYFUNCTION("IMPORTRANGE(""https://docs.google.com/spreadsheets/d/11923uPwbBZFjjGgGUA6NLw09EwE0CqkOc4q9oUmW1yo/edit?usp=sharing"",""แพร่!M476"")"),0)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IFERROR(__xludf.DUMMYFUNCTION("IMPORTRANGE(""https://docs.google.com/spreadsheets/d/11923uPwbBZFjjGgGUA6NLw09EwE0CqkOc4q9oUmW1yo/edit?usp=sharing"",""แพร่!L477"")"),0)</f>
        <v>0</v>
      </c>
      <c r="M582" s="173"/>
      <c r="N582" s="178">
        <f ca="1">IFERROR(__xludf.DUMMYFUNCTION("IMPORTRANGE(""https://docs.google.com/spreadsheets/d/11923uPwbBZFjjGgGUA6NLw09EwE0CqkOc4q9oUmW1yo/edit?usp=sharing"",""แพร่!M477"")"),0)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IFERROR(__xludf.DUMMYFUNCTION("IMPORTRANGE(""https://docs.google.com/spreadsheets/d/11923uPwbBZFjjGgGUA6NLw09EwE0CqkOc4q9oUmW1yo/edit?usp=sharing"",""แพร่!L478"")"),0)</f>
        <v>0</v>
      </c>
      <c r="M583" s="178"/>
      <c r="N583" s="178">
        <f ca="1">IFERROR(__xludf.DUMMYFUNCTION("IMPORTRANGE(""https://docs.google.com/spreadsheets/d/11923uPwbBZFjjGgGUA6NLw09EwE0CqkOc4q9oUmW1yo/edit?usp=sharing"",""แพร่!M478"")"),0)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IFERROR(__xludf.DUMMYFUNCTION("IMPORTRANGE(""https://docs.google.com/spreadsheets/d/11923uPwbBZFjjGgGUA6NLw09EwE0CqkOc4q9oUmW1yo/edit?usp=sharing"",""แพร่!L479"")"),0)</f>
        <v>0</v>
      </c>
      <c r="M584" s="178"/>
      <c r="N584" s="178">
        <f ca="1">IFERROR(__xludf.DUMMYFUNCTION("IMPORTRANGE(""https://docs.google.com/spreadsheets/d/11923uPwbBZFjjGgGUA6NLw09EwE0CqkOc4q9oUmW1yo/edit?usp=sharing"",""แพร่!M479"")"),0)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IFERROR(__xludf.DUMMYFUNCTION("IMPORTRANGE(""https://docs.google.com/spreadsheets/d/11923uPwbBZFjjGgGUA6NLw09EwE0CqkOc4q9oUmW1yo/edit?usp=sharing"",""แพร่!M480"")"),0)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IFERROR(__xludf.DUMMYFUNCTION("IMPORTRANGE(""https://docs.google.com/spreadsheets/d/11923uPwbBZFjjGgGUA6NLw09EwE0CqkOc4q9oUmW1yo/edit?usp=sharing"",""แพร่!M481"")"),0)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IFERROR(__xludf.DUMMYFUNCTION("IMPORTRANGE(""https://docs.google.com/spreadsheets/d/11923uPwbBZFjjGgGUA6NLw09EwE0CqkOc4q9oUmW1yo/edit?usp=sharing"",""แพร่!M482"")"),0)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IFERROR(__xludf.DUMMYFUNCTION("IMPORTRANGE(""https://docs.google.com/spreadsheets/d/11923uPwbBZFjjGgGUA6NLw09EwE0CqkOc4q9oUmW1yo/edit?usp=sharing"",""แพร่!M483"")"),0)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IFERROR(__xludf.DUMMYFUNCTION("IMPORTRANGE(""https://docs.google.com/spreadsheets/d/11923uPwbBZFjjGgGUA6NLw09EwE0CqkOc4q9oUmW1yo/edit?usp=sharing"",""แพร่!I484"")"),0)</f>
        <v>0</v>
      </c>
      <c r="J589" s="197">
        <f ca="1">IFERROR(__xludf.DUMMYFUNCTION("IMPORTRANGE(""https://docs.google.com/spreadsheets/d/11923uPwbBZFjjGgGUA6NLw09EwE0CqkOc4q9oUmW1yo/edit?usp=sharing"",""แพร่!J484"")"),2)</f>
        <v>2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IFERROR(__xludf.DUMMYFUNCTION("IMPORTRANGE(""https://docs.google.com/spreadsheets/d/11923uPwbBZFjjGgGUA6NLw09EwE0CqkOc4q9oUmW1yo/edit?usp=sharing"",""แพร่!I485"")"),0)</f>
        <v>0</v>
      </c>
      <c r="J590" s="197">
        <f ca="1">IFERROR(__xludf.DUMMYFUNCTION("IMPORTRANGE(""https://docs.google.com/spreadsheets/d/11923uPwbBZFjjGgGUA6NLw09EwE0CqkOc4q9oUmW1yo/edit?usp=sharing"",""แพร่!J485"")"),1.65)</f>
        <v>1.65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IFERROR(__xludf.DUMMYFUNCTION("IMPORTRANGE(""https://docs.google.com/spreadsheets/d/11923uPwbBZFjjGgGUA6NLw09EwE0CqkOc4q9oUmW1yo/edit?usp=sharing"",""แพร่!I486"")"),0)</f>
        <v>0</v>
      </c>
      <c r="J591" s="197">
        <f ca="1">IFERROR(__xludf.DUMMYFUNCTION("IMPORTRANGE(""https://docs.google.com/spreadsheets/d/11923uPwbBZFjjGgGUA6NLw09EwE0CqkOc4q9oUmW1yo/edit?usp=sharing"",""แพร่!J486"")"),2)</f>
        <v>2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IFERROR(__xludf.DUMMYFUNCTION("IMPORTRANGE(""https://docs.google.com/spreadsheets/d/11923uPwbBZFjjGgGUA6NLw09EwE0CqkOc4q9oUmW1yo/edit?usp=sharing"",""แพร่!I487"")"),0)</f>
        <v>0</v>
      </c>
      <c r="J592" s="197">
        <f ca="1">IFERROR(__xludf.DUMMYFUNCTION("IMPORTRANGE(""https://docs.google.com/spreadsheets/d/11923uPwbBZFjjGgGUA6NLw09EwE0CqkOc4q9oUmW1yo/edit?usp=sharing"",""แพร่!J487"")"),1.65)</f>
        <v>1.65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IFERROR(__xludf.DUMMYFUNCTION("IMPORTRANGE(""https://docs.google.com/spreadsheets/d/11923uPwbBZFjjGgGUA6NLw09EwE0CqkOc4q9oUmW1yo/edit?usp=sharing"",""แพร่!I488"")"),0)</f>
        <v>0</v>
      </c>
      <c r="J593" s="197">
        <f ca="1">IFERROR(__xludf.DUMMYFUNCTION("IMPORTRANGE(""https://docs.google.com/spreadsheets/d/11923uPwbBZFjjGgGUA6NLw09EwE0CqkOc4q9oUmW1yo/edit?usp=sharing"",""แพร่!J488"")"),0)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IFERROR(__xludf.DUMMYFUNCTION("IMPORTRANGE(""https://docs.google.com/spreadsheets/d/11923uPwbBZFjjGgGUA6NLw09EwE0CqkOc4q9oUmW1yo/edit?usp=sharing"",""แพร่!I489"")"),0)</f>
        <v>0</v>
      </c>
      <c r="J594" s="197">
        <f ca="1">IFERROR(__xludf.DUMMYFUNCTION("IMPORTRANGE(""https://docs.google.com/spreadsheets/d/11923uPwbBZFjjGgGUA6NLw09EwE0CqkOc4q9oUmW1yo/edit?usp=sharing"",""แพร่!J489"")"),0)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IFERROR(__xludf.DUMMYFUNCTION("IMPORTRANGE(""https://docs.google.com/spreadsheets/d/11923uPwbBZFjjGgGUA6NLw09EwE0CqkOc4q9oUmW1yo/edit?usp=sharing"",""แพร่!I490"")"),0)</f>
        <v>0</v>
      </c>
      <c r="J595" s="197">
        <f ca="1">IFERROR(__xludf.DUMMYFUNCTION("IMPORTRANGE(""https://docs.google.com/spreadsheets/d/11923uPwbBZFjjGgGUA6NLw09EwE0CqkOc4q9oUmW1yo/edit?usp=sharing"",""แพร่!J490"")"),2)</f>
        <v>2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IFERROR(__xludf.DUMMYFUNCTION("IMPORTRANGE(""https://docs.google.com/spreadsheets/d/11923uPwbBZFjjGgGUA6NLw09EwE0CqkOc4q9oUmW1yo/edit?usp=sharing"",""แพร่!I491"")"),0)</f>
        <v>0</v>
      </c>
      <c r="J596" s="250">
        <f ca="1">IFERROR(__xludf.DUMMYFUNCTION("IMPORTRANGE(""https://docs.google.com/spreadsheets/d/11923uPwbBZFjjGgGUA6NLw09EwE0CqkOc4q9oUmW1yo/edit?usp=sharing"",""แพร่!J491"")"),1.65)</f>
        <v>1.65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IFERROR(__xludf.DUMMYFUNCTION("IMPORTRANGE(""https://docs.google.com/spreadsheets/d/11923uPwbBZFjjGgGUA6NLw09EwE0CqkOc4q9oUmW1yo/edit?usp=sharing"",""แพร่!I492"")"),50)</f>
        <v>50</v>
      </c>
      <c r="J597" s="495">
        <f ca="1">IFERROR(__xludf.DUMMYFUNCTION("IMPORTRANGE(""https://docs.google.com/spreadsheets/d/11923uPwbBZFjjGgGUA6NLw09EwE0CqkOc4q9oUmW1yo/edit?usp=sharing"",""แพร่!J492"")"),0)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IFERROR(__xludf.DUMMYFUNCTION("IMPORTRANGE(""https://docs.google.com/spreadsheets/d/11923uPwbBZFjjGgGUA6NLw09EwE0CqkOc4q9oUmW1yo/edit?usp=sharing"",""แพร่!L492"")"),4550)</f>
        <v>4550</v>
      </c>
      <c r="M597" s="420"/>
      <c r="N597" s="420">
        <f ca="1">IFERROR(__xludf.DUMMYFUNCTION("IMPORTRANGE(""https://docs.google.com/spreadsheets/d/11923uPwbBZFjjGgGUA6NLw09EwE0CqkOc4q9oUmW1yo/edit?usp=sharing"",""แพร่!M492"")"),432)</f>
        <v>432</v>
      </c>
      <c r="O597" s="420">
        <f t="shared" ref="O597:O601" ca="1" si="126">+IF(L597&gt;0,N597*100/L597,0)</f>
        <v>9.4945054945054945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IFERROR(__xludf.DUMMYFUNCTION("IMPORTRANGE(""https://docs.google.com/spreadsheets/d/11923uPwbBZFjjGgGUA6NLw09EwE0CqkOc4q9oUmW1yo/edit?usp=sharing"",""แพร่!L493"")"),0)</f>
        <v>0</v>
      </c>
      <c r="M598" s="172"/>
      <c r="N598" s="178">
        <f ca="1">IFERROR(__xludf.DUMMYFUNCTION("IMPORTRANGE(""https://docs.google.com/spreadsheets/d/11923uPwbBZFjjGgGUA6NLw09EwE0CqkOc4q9oUmW1yo/edit?usp=sharing"",""แพร่!M493"")"),0)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IFERROR(__xludf.DUMMYFUNCTION("IMPORTRANGE(""https://docs.google.com/spreadsheets/d/11923uPwbBZFjjGgGUA6NLw09EwE0CqkOc4q9oUmW1yo/edit?usp=sharing"",""แพร่!L494"")"),4550)</f>
        <v>4550</v>
      </c>
      <c r="M599" s="173"/>
      <c r="N599" s="178">
        <f ca="1">IFERROR(__xludf.DUMMYFUNCTION("IMPORTRANGE(""https://docs.google.com/spreadsheets/d/11923uPwbBZFjjGgGUA6NLw09EwE0CqkOc4q9oUmW1yo/edit?usp=sharing"",""แพร่!M494"")"),432)</f>
        <v>432</v>
      </c>
      <c r="O599" s="178">
        <f t="shared" ca="1" si="126"/>
        <v>9.4945054945054945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IFERROR(__xludf.DUMMYFUNCTION("IMPORTRANGE(""https://docs.google.com/spreadsheets/d/11923uPwbBZFjjGgGUA6NLw09EwE0CqkOc4q9oUmW1yo/edit?usp=sharing"",""แพร่!L495"")"),0)</f>
        <v>0</v>
      </c>
      <c r="M600" s="178"/>
      <c r="N600" s="178">
        <f ca="1">IFERROR(__xludf.DUMMYFUNCTION("IMPORTRANGE(""https://docs.google.com/spreadsheets/d/11923uPwbBZFjjGgGUA6NLw09EwE0CqkOc4q9oUmW1yo/edit?usp=sharing"",""แพร่!M495"")"),0)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IFERROR(__xludf.DUMMYFUNCTION("IMPORTRANGE(""https://docs.google.com/spreadsheets/d/11923uPwbBZFjjGgGUA6NLw09EwE0CqkOc4q9oUmW1yo/edit?usp=sharing"",""แพร่!L496"")"),4550)</f>
        <v>4550</v>
      </c>
      <c r="M601" s="178"/>
      <c r="N601" s="178">
        <f ca="1">IFERROR(__xludf.DUMMYFUNCTION("IMPORTRANGE(""https://docs.google.com/spreadsheets/d/11923uPwbBZFjjGgGUA6NLw09EwE0CqkOc4q9oUmW1yo/edit?usp=sharing"",""แพร่!M496"")"),432)</f>
        <v>432</v>
      </c>
      <c r="O601" s="178">
        <f t="shared" ca="1" si="126"/>
        <v>9.4945054945054945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IFERROR(__xludf.DUMMYFUNCTION("IMPORTRANGE(""https://docs.google.com/spreadsheets/d/11923uPwbBZFjjGgGUA6NLw09EwE0CqkOc4q9oUmW1yo/edit?usp=sharing"",""แพร่!M497"")"),0)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IFERROR(__xludf.DUMMYFUNCTION("IMPORTRANGE(""https://docs.google.com/spreadsheets/d/11923uPwbBZFjjGgGUA6NLw09EwE0CqkOc4q9oUmW1yo/edit?usp=sharing"",""แพร่!M498"")"),0)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IFERROR(__xludf.DUMMYFUNCTION("IMPORTRANGE(""https://docs.google.com/spreadsheets/d/11923uPwbBZFjjGgGUA6NLw09EwE0CqkOc4q9oUmW1yo/edit?usp=sharing"",""แพร่!M499"")"),0)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IFERROR(__xludf.DUMMYFUNCTION("IMPORTRANGE(""https://docs.google.com/spreadsheets/d/11923uPwbBZFjjGgGUA6NLw09EwE0CqkOc4q9oUmW1yo/edit?usp=sharing"",""แพร่!M500"")"),432)</f>
        <v>432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IFERROR(__xludf.DUMMYFUNCTION("IMPORTRANGE(""https://docs.google.com/spreadsheets/d/11923uPwbBZFjjGgGUA6NLw09EwE0CqkOc4q9oUmW1yo/edit?usp=sharing"",""แพร่!J502"")"),0)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IFERROR(__xludf.DUMMYFUNCTION("IMPORTRANGE(""https://docs.google.com/spreadsheets/d/11923uPwbBZFjjGgGUA6NLw09EwE0CqkOc4q9oUmW1yo/edit?usp=sharing"",""แพร่!J503"")"),1)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IFERROR(__xludf.DUMMYFUNCTION("IMPORTRANGE(""https://docs.google.com/spreadsheets/d/11923uPwbBZFjjGgGUA6NLw09EwE0CqkOc4q9oUmW1yo/edit?usp=sharing"",""แพร่!J166"")"),0)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IFERROR(__xludf.DUMMYFUNCTION("IMPORTRANGE(""https://docs.google.com/spreadsheets/d/11923uPwbBZFjjGgGUA6NLw09EwE0CqkOc4q9oUmW1yo/edit?usp=sharing"",""แพร่!J166"")"),0)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IFERROR(__xludf.DUMMYFUNCTION("IMPORTRANGE(""https://docs.google.com/spreadsheets/d/11923uPwbBZFjjGgGUA6NLw09EwE0CqkOc4q9oUmW1yo/edit?usp=sharing"",""แพร่!I506"")"),50)</f>
        <v>50</v>
      </c>
      <c r="J611" s="170">
        <f ca="1">IFERROR(__xludf.DUMMYFUNCTION("IMPORTRANGE(""https://docs.google.com/spreadsheets/d/11923uPwbBZFjjGgGUA6NLw09EwE0CqkOc4q9oUmW1yo/edit?usp=sharing"",""แพร่!J506"")"),0)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IFERROR(__xludf.DUMMYFUNCTION("IMPORTRANGE(""https://docs.google.com/spreadsheets/d/11923uPwbBZFjjGgGUA6NLw09EwE0CqkOc4q9oUmW1yo/edit?usp=sharing"",""แพร่!I507"")"),0)</f>
        <v>0</v>
      </c>
      <c r="J612" s="207">
        <f ca="1">IFERROR(__xludf.DUMMYFUNCTION("IMPORTRANGE(""https://docs.google.com/spreadsheets/d/11923uPwbBZFjjGgGUA6NLw09EwE0CqkOc4q9oUmW1yo/edit?usp=sharing"",""แพร่!J507"")"),0)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IFERROR(__xludf.DUMMYFUNCTION("IMPORTRANGE(""https://docs.google.com/spreadsheets/d/11923uPwbBZFjjGgGUA6NLw09EwE0CqkOc4q9oUmW1yo/edit?usp=sharing"",""แพร่!I508"")"),0)</f>
        <v>0</v>
      </c>
      <c r="J613" s="207">
        <f ca="1">IFERROR(__xludf.DUMMYFUNCTION("IMPORTRANGE(""https://docs.google.com/spreadsheets/d/11923uPwbBZFjjGgGUA6NLw09EwE0CqkOc4q9oUmW1yo/edit?usp=sharing"",""แพร่!J508"")"),0)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IFERROR(__xludf.DUMMYFUNCTION("IMPORTRANGE(""https://docs.google.com/spreadsheets/d/11923uPwbBZFjjGgGUA6NLw09EwE0CqkOc4q9oUmW1yo/edit?usp=sharing"",""แพร่!I509"")"),0)</f>
        <v>0</v>
      </c>
      <c r="J614" s="207">
        <f ca="1">IFERROR(__xludf.DUMMYFUNCTION("IMPORTRANGE(""https://docs.google.com/spreadsheets/d/11923uPwbBZFjjGgGUA6NLw09EwE0CqkOc4q9oUmW1yo/edit?usp=sharing"",""แพร่!J509"")"),0)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IFERROR(__xludf.DUMMYFUNCTION("IMPORTRANGE(""https://docs.google.com/spreadsheets/d/11923uPwbBZFjjGgGUA6NLw09EwE0CqkOc4q9oUmW1yo/edit?usp=sharing"",""แพร่!I510"")"),0)</f>
        <v>0</v>
      </c>
      <c r="J615" s="207">
        <f ca="1">IFERROR(__xludf.DUMMYFUNCTION("IMPORTRANGE(""https://docs.google.com/spreadsheets/d/11923uPwbBZFjjGgGUA6NLw09EwE0CqkOc4q9oUmW1yo/edit?usp=sharing"",""แพร่!J510"")"),0)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IFERROR(__xludf.DUMMYFUNCTION("IMPORTRANGE(""https://docs.google.com/spreadsheets/d/11923uPwbBZFjjGgGUA6NLw09EwE0CqkOc4q9oUmW1yo/edit?usp=sharing"",""แพร่!I511"")"),0)</f>
        <v>0</v>
      </c>
      <c r="J616" s="207">
        <f ca="1">IFERROR(__xludf.DUMMYFUNCTION("IMPORTRANGE(""https://docs.google.com/spreadsheets/d/11923uPwbBZFjjGgGUA6NLw09EwE0CqkOc4q9oUmW1yo/edit?usp=sharing"",""แพร่!J511"")"),0)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IFERROR(__xludf.DUMMYFUNCTION("IMPORTRANGE(""https://docs.google.com/spreadsheets/d/11923uPwbBZFjjGgGUA6NLw09EwE0CqkOc4q9oUmW1yo/edit?usp=sharing"",""แพร่!I512"")"),0)</f>
        <v>0</v>
      </c>
      <c r="J617" s="197">
        <f ca="1">IFERROR(__xludf.DUMMYFUNCTION("IMPORTRANGE(""https://docs.google.com/spreadsheets/d/11923uPwbBZFjjGgGUA6NLw09EwE0CqkOc4q9oUmW1yo/edit?usp=sharing"",""แพร่!J512"")"),0)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IFERROR(__xludf.DUMMYFUNCTION("IMPORTRANGE(""https://docs.google.com/spreadsheets/d/11923uPwbBZFjjGgGUA6NLw09EwE0CqkOc4q9oUmW1yo/edit?usp=sharing"",""แพร่!I513"")"),0)</f>
        <v>0</v>
      </c>
      <c r="J618" s="198">
        <f ca="1">IFERROR(__xludf.DUMMYFUNCTION("IMPORTRANGE(""https://docs.google.com/spreadsheets/d/11923uPwbBZFjjGgGUA6NLw09EwE0CqkOc4q9oUmW1yo/edit?usp=sharing"",""แพร่!J513"")"),0)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IFERROR(__xludf.DUMMYFUNCTION("IMPORTRANGE(""https://docs.google.com/spreadsheets/d/11923uPwbBZFjjGgGUA6NLw09EwE0CqkOc4q9oUmW1yo/edit?usp=sharing"",""แพร่!I514"")"),0)</f>
        <v>0</v>
      </c>
      <c r="J619" s="198">
        <f ca="1">IFERROR(__xludf.DUMMYFUNCTION("IMPORTRANGE(""https://docs.google.com/spreadsheets/d/11923uPwbBZFjjGgGUA6NLw09EwE0CqkOc4q9oUmW1yo/edit?usp=sharing"",""แพร่!J514"")"),0)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IFERROR(__xludf.DUMMYFUNCTION("IMPORTRANGE(""https://docs.google.com/spreadsheets/d/11923uPwbBZFjjGgGUA6NLw09EwE0CqkOc4q9oUmW1yo/edit?usp=sharing"",""แพร่!I515"")"),0)</f>
        <v>0</v>
      </c>
      <c r="J620" s="212">
        <f ca="1">IFERROR(__xludf.DUMMYFUNCTION("IMPORTRANGE(""https://docs.google.com/spreadsheets/d/11923uPwbBZFjjGgGUA6NLw09EwE0CqkOc4q9oUmW1yo/edit?usp=sharing"",""แพร่!J515"")"),0)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IFERROR(__xludf.DUMMYFUNCTION("IMPORTRANGE(""https://docs.google.com/spreadsheets/d/11923uPwbBZFjjGgGUA6NLw09EwE0CqkOc4q9oUmW1yo/edit?usp=sharing"",""แพร่!I516"")"),0)</f>
        <v>0</v>
      </c>
      <c r="J621" s="212">
        <f ca="1">IFERROR(__xludf.DUMMYFUNCTION("IMPORTRANGE(""https://docs.google.com/spreadsheets/d/11923uPwbBZFjjGgGUA6NLw09EwE0CqkOc4q9oUmW1yo/edit?usp=sharing"",""แพร่!J516"")"),0)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IFERROR(__xludf.DUMMYFUNCTION("IMPORTRANGE(""https://docs.google.com/spreadsheets/d/11923uPwbBZFjjGgGUA6NLw09EwE0CqkOc4q9oUmW1yo/edit?usp=sharing"",""แพร่!I517"")"),0)</f>
        <v>0</v>
      </c>
      <c r="J622" s="198">
        <f ca="1">IFERROR(__xludf.DUMMYFUNCTION("IMPORTRANGE(""https://docs.google.com/spreadsheets/d/11923uPwbBZFjjGgGUA6NLw09EwE0CqkOc4q9oUmW1yo/edit?usp=sharing"",""แพร่!J517"")"),0)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IFERROR(__xludf.DUMMYFUNCTION("IMPORTRANGE(""https://docs.google.com/spreadsheets/d/11923uPwbBZFjjGgGUA6NLw09EwE0CqkOc4q9oUmW1yo/edit?usp=sharing"",""แพร่!I518"")"),0)</f>
        <v>0</v>
      </c>
      <c r="J623" s="198">
        <f ca="1">IFERROR(__xludf.DUMMYFUNCTION("IMPORTRANGE(""https://docs.google.com/spreadsheets/d/11923uPwbBZFjjGgGUA6NLw09EwE0CqkOc4q9oUmW1yo/edit?usp=sharing"",""แพร่!J518"")"),0)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IFERROR(__xludf.DUMMYFUNCTION("IMPORTRANGE(""https://docs.google.com/spreadsheets/d/11923uPwbBZFjjGgGUA6NLw09EwE0CqkOc4q9oUmW1yo/edit?usp=sharing"",""แพร่!I519"")"),0)</f>
        <v>0</v>
      </c>
      <c r="J624" s="197">
        <f ca="1">IFERROR(__xludf.DUMMYFUNCTION("IMPORTRANGE(""https://docs.google.com/spreadsheets/d/11923uPwbBZFjjGgGUA6NLw09EwE0CqkOc4q9oUmW1yo/edit?usp=sharing"",""แพร่!J519"")"),0)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IFERROR(__xludf.DUMMYFUNCTION("IMPORTRANGE(""https://docs.google.com/spreadsheets/d/11923uPwbBZFjjGgGUA6NLw09EwE0CqkOc4q9oUmW1yo/edit?usp=sharing"",""แพร่!I520"")"),0)</f>
        <v>0</v>
      </c>
      <c r="J625" s="198">
        <f ca="1">IFERROR(__xludf.DUMMYFUNCTION("IMPORTRANGE(""https://docs.google.com/spreadsheets/d/11923uPwbBZFjjGgGUA6NLw09EwE0CqkOc4q9oUmW1yo/edit?usp=sharing"",""แพร่!J520"")"),0)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IFERROR(__xludf.DUMMYFUNCTION("IMPORTRANGE(""https://docs.google.com/spreadsheets/d/11923uPwbBZFjjGgGUA6NLw09EwE0CqkOc4q9oUmW1yo/edit?usp=sharing"",""แพร่!I521"")"),0)</f>
        <v>0</v>
      </c>
      <c r="J626" s="198">
        <f ca="1">IFERROR(__xludf.DUMMYFUNCTION("IMPORTRANGE(""https://docs.google.com/spreadsheets/d/11923uPwbBZFjjGgGUA6NLw09EwE0CqkOc4q9oUmW1yo/edit?usp=sharing"",""แพร่!J521"")"),0)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IFERROR(__xludf.DUMMYFUNCTION("IMPORTRANGE(""https://docs.google.com/spreadsheets/d/11923uPwbBZFjjGgGUA6NLw09EwE0CqkOc4q9oUmW1yo/edit?usp=sharing"",""แพร่!I523"")"),3480000)</f>
        <v>3480000</v>
      </c>
      <c r="J628" s="349">
        <f ca="1">IFERROR(__xludf.DUMMYFUNCTION("IMPORTRANGE(""https://docs.google.com/spreadsheets/d/11923uPwbBZFjjGgGUA6NLw09EwE0CqkOc4q9oUmW1yo/edit?usp=sharing"",""แพร่!J523"")"),590000)</f>
        <v>590000</v>
      </c>
      <c r="K628" s="350">
        <f t="shared" ref="K628:K635" ca="1" si="129">IF(I628&gt;0,J628*100/I628,0)</f>
        <v>16.954022988505749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IFERROR(__xludf.DUMMYFUNCTION("IMPORTRANGE(""https://docs.google.com/spreadsheets/d/11923uPwbBZFjjGgGUA6NLw09EwE0CqkOc4q9oUmW1yo/edit?usp=sharing"",""แพร่!I524"")"),160)</f>
        <v>160</v>
      </c>
      <c r="J629" s="349">
        <f ca="1">IFERROR(__xludf.DUMMYFUNCTION("IMPORTRANGE(""https://docs.google.com/spreadsheets/d/11923uPwbBZFjjGgGUA6NLw09EwE0CqkOc4q9oUmW1yo/edit?usp=sharing"",""แพร่!J524"")"),25)</f>
        <v>25</v>
      </c>
      <c r="K629" s="350">
        <f t="shared" ca="1" si="129"/>
        <v>15.625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IFERROR(__xludf.DUMMYFUNCTION("IMPORTRANGE(""https://docs.google.com/spreadsheets/d/11923uPwbBZFjjGgGUA6NLw09EwE0CqkOc4q9oUmW1yo/edit?usp=sharing"",""แพร่!I525"")"),664125.88)</f>
        <v>664125.88</v>
      </c>
      <c r="J630" s="349">
        <f ca="1">IFERROR(__xludf.DUMMYFUNCTION("IMPORTRANGE(""https://docs.google.com/spreadsheets/d/11923uPwbBZFjjGgGUA6NLw09EwE0CqkOc4q9oUmW1yo/edit?usp=sharing"",""แพร่!J525"")"),35504.03)</f>
        <v>35504.03</v>
      </c>
      <c r="K630" s="350">
        <f t="shared" ca="1" si="129"/>
        <v>5.3459789882002493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IFERROR(__xludf.DUMMYFUNCTION("IMPORTRANGE(""https://docs.google.com/spreadsheets/d/11923uPwbBZFjjGgGUA6NLw09EwE0CqkOc4q9oUmW1yo/edit?usp=sharing"",""แพร่!I526"")"),54)</f>
        <v>54</v>
      </c>
      <c r="J631" s="349">
        <f ca="1">IFERROR(__xludf.DUMMYFUNCTION("IMPORTRANGE(""https://docs.google.com/spreadsheets/d/11923uPwbBZFjjGgGUA6NLw09EwE0CqkOc4q9oUmW1yo/edit?usp=sharing"",""แพร่!J526"")"),42)</f>
        <v>42</v>
      </c>
      <c r="K631" s="350">
        <f t="shared" ca="1" si="129"/>
        <v>77.777777777777771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IFERROR(__xludf.DUMMYFUNCTION("IMPORTRANGE(""https://docs.google.com/spreadsheets/d/11923uPwbBZFjjGgGUA6NLw09EwE0CqkOc4q9oUmW1yo/edit?usp=sharing"",""แพร่!I527"")"),0)</f>
        <v>0</v>
      </c>
      <c r="J632" s="349">
        <f ca="1">IFERROR(__xludf.DUMMYFUNCTION("IMPORTRANGE(""https://docs.google.com/spreadsheets/d/11923uPwbBZFjjGgGUA6NLw09EwE0CqkOc4q9oUmW1yo/edit?usp=sharing"",""แพร่!J527"")"),0)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IFERROR(__xludf.DUMMYFUNCTION("IMPORTRANGE(""https://docs.google.com/spreadsheets/d/11923uPwbBZFjjGgGUA6NLw09EwE0CqkOc4q9oUmW1yo/edit?usp=sharing"",""แพร่!I528"")"),0)</f>
        <v>0</v>
      </c>
      <c r="J633" s="349">
        <f ca="1">IFERROR(__xludf.DUMMYFUNCTION("IMPORTRANGE(""https://docs.google.com/spreadsheets/d/11923uPwbBZFjjGgGUA6NLw09EwE0CqkOc4q9oUmW1yo/edit?usp=sharing"",""แพร่!J528"")"),0)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IFERROR(__xludf.DUMMYFUNCTION("IMPORTRANGE(""https://docs.google.com/spreadsheets/d/11923uPwbBZFjjGgGUA6NLw09EwE0CqkOc4q9oUmW1yo/edit?usp=sharing"",""แพร่!I529"")"),3500000)</f>
        <v>3500000</v>
      </c>
      <c r="J634" s="349">
        <f ca="1">IFERROR(__xludf.DUMMYFUNCTION("IMPORTRANGE(""https://docs.google.com/spreadsheets/d/11923uPwbBZFjjGgGUA6NLw09EwE0CqkOc4q9oUmW1yo/edit?usp=sharing"",""แพร่!J529"")"),0)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IFERROR(__xludf.DUMMYFUNCTION("IMPORTRANGE(""https://docs.google.com/spreadsheets/d/11923uPwbBZFjjGgGUA6NLw09EwE0CqkOc4q9oUmW1yo/edit?usp=sharing"",""แพร่!I530"")"),140)</f>
        <v>140</v>
      </c>
      <c r="J635" s="519">
        <f ca="1">IFERROR(__xludf.DUMMYFUNCTION("IMPORTRANGE(""https://docs.google.com/spreadsheets/d/11923uPwbBZFjjGgGUA6NLw09EwE0CqkOc4q9oUmW1yo/edit?usp=sharing"",""แพร่!J530"")"),0)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9" sqref="J9"/>
      <selection pane="bottomLeft" activeCell="J9" sqref="J9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8.83203125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260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3160902</v>
      </c>
      <c r="M8" s="25">
        <f t="shared" ca="1" si="0"/>
        <v>1072255</v>
      </c>
      <c r="N8" s="25">
        <f t="shared" ca="1" si="0"/>
        <v>1223981</v>
      </c>
      <c r="O8" s="24">
        <f t="shared" ref="O8:O16" ca="1" si="1">IF(L8&gt;0,N8*100/L8,0)</f>
        <v>38.722522874799658</v>
      </c>
      <c r="P8" s="24">
        <f t="shared" ref="P8:P16" ca="1" si="2">IF(M8&gt;0,N8*100/M8,0)</f>
        <v>114.15017882873011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3160902</v>
      </c>
      <c r="M10" s="32">
        <f t="shared" ca="1" si="4"/>
        <v>1072255</v>
      </c>
      <c r="N10" s="32">
        <f t="shared" ca="1" si="4"/>
        <v>1223981</v>
      </c>
      <c r="O10" s="31">
        <f t="shared" ca="1" si="1"/>
        <v>38.722522874799658</v>
      </c>
      <c r="P10" s="31">
        <f t="shared" ca="1" si="2"/>
        <v>114.15017882873011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3113102</v>
      </c>
      <c r="M12" s="40">
        <f t="shared" ca="1" si="6"/>
        <v>1072255</v>
      </c>
      <c r="N12" s="40">
        <f t="shared" ca="1" si="6"/>
        <v>1176181</v>
      </c>
      <c r="O12" s="40">
        <f t="shared" ca="1" si="1"/>
        <v>37.781640306035591</v>
      </c>
      <c r="P12" s="40">
        <f t="shared" ca="1" si="2"/>
        <v>109.69228401826058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1558000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1555102</v>
      </c>
      <c r="M14" s="40">
        <f t="shared" si="8"/>
        <v>0</v>
      </c>
      <c r="N14" s="40">
        <f t="shared" ca="1" si="8"/>
        <v>386803</v>
      </c>
      <c r="O14" s="43">
        <f t="shared" ca="1" si="1"/>
        <v>24.873159445489748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47800</v>
      </c>
      <c r="M16" s="40">
        <f t="shared" si="10"/>
        <v>0</v>
      </c>
      <c r="N16" s="40">
        <f t="shared" ca="1" si="10"/>
        <v>47800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2083375</v>
      </c>
      <c r="M18" s="25">
        <f t="shared" ca="1" si="11"/>
        <v>1072255</v>
      </c>
      <c r="N18" s="25">
        <f t="shared" ca="1" si="11"/>
        <v>837178</v>
      </c>
      <c r="O18" s="24">
        <f t="shared" ref="O18:O20" ca="1" si="12">IF(L18&gt;0,N18*100/L18,0)</f>
        <v>40.183740325193497</v>
      </c>
      <c r="P18" s="24">
        <f t="shared" ref="P18:P26" ca="1" si="13">IF(M18&gt;0,N18*100/M18,0)</f>
        <v>78.076390410863084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2083375</v>
      </c>
      <c r="M20" s="32">
        <f t="shared" ca="1" si="15"/>
        <v>1072255</v>
      </c>
      <c r="N20" s="32">
        <f t="shared" ca="1" si="15"/>
        <v>837178</v>
      </c>
      <c r="O20" s="31">
        <f t="shared" ca="1" si="12"/>
        <v>40.183740325193497</v>
      </c>
      <c r="P20" s="31">
        <f t="shared" ca="1" si="13"/>
        <v>78.076390410863084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2035575</v>
      </c>
      <c r="M22" s="44">
        <f t="shared" ca="1" si="18"/>
        <v>1072255</v>
      </c>
      <c r="N22" s="43">
        <f t="shared" ca="1" si="18"/>
        <v>789378</v>
      </c>
      <c r="O22" s="43">
        <f t="shared" ca="1" si="17"/>
        <v>38.779116465863453</v>
      </c>
      <c r="P22" s="43">
        <f t="shared" ca="1" si="13"/>
        <v>73.618495600393558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1558000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477575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47800</v>
      </c>
      <c r="M26" s="52">
        <f t="shared" si="22"/>
        <v>0</v>
      </c>
      <c r="N26" s="52">
        <f t="shared" ca="1" si="22"/>
        <v>47800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1077527</v>
      </c>
      <c r="M28" s="25">
        <f t="shared" si="23"/>
        <v>0</v>
      </c>
      <c r="N28" s="25">
        <f t="shared" ca="1" si="23"/>
        <v>386803</v>
      </c>
      <c r="O28" s="24">
        <f t="shared" ref="O28:O30" ca="1" si="24">IF(L28&gt;0,N28*100/L28,0)</f>
        <v>35.897290740742463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1077527</v>
      </c>
      <c r="M30" s="32">
        <f t="shared" si="27"/>
        <v>0</v>
      </c>
      <c r="N30" s="32">
        <f t="shared" ca="1" si="27"/>
        <v>386803</v>
      </c>
      <c r="O30" s="31">
        <f t="shared" ca="1" si="24"/>
        <v>35.897290740742463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1077527</v>
      </c>
      <c r="M32" s="43">
        <f t="shared" si="30"/>
        <v>0</v>
      </c>
      <c r="N32" s="43">
        <f t="shared" ca="1" si="30"/>
        <v>386803</v>
      </c>
      <c r="O32" s="43">
        <f t="shared" ca="1" si="29"/>
        <v>35.897290740742463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1077527</v>
      </c>
      <c r="M34" s="43">
        <f t="shared" si="32"/>
        <v>0</v>
      </c>
      <c r="N34" s="43">
        <f t="shared" ca="1" si="32"/>
        <v>386803</v>
      </c>
      <c r="O34" s="43">
        <f t="shared" ca="1" si="29"/>
        <v>35.897290740742463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2083375</v>
      </c>
      <c r="M37" s="57">
        <f t="shared" ca="1" si="33"/>
        <v>1072255</v>
      </c>
      <c r="N37" s="57">
        <f t="shared" ca="1" si="33"/>
        <v>837178</v>
      </c>
      <c r="O37" s="58">
        <f t="shared" ca="1" si="29"/>
        <v>40.183740325193497</v>
      </c>
      <c r="P37" s="58">
        <f t="shared" ca="1" si="25"/>
        <v>78.076390410863084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669700</v>
      </c>
      <c r="M41" s="81">
        <f t="shared" ca="1" si="34"/>
        <v>334900</v>
      </c>
      <c r="N41" s="81">
        <f t="shared" ca="1" si="34"/>
        <v>232758</v>
      </c>
      <c r="O41" s="80">
        <f t="shared" ref="O41:O43" ca="1" si="35">IF(L41&gt;0,N41*100/L41,0)</f>
        <v>34.755562192026282</v>
      </c>
      <c r="P41" s="80">
        <f t="shared" ref="P41:P43" ca="1" si="36">IF(M41&gt;0,N41*100/M41,0)</f>
        <v>69.500746491489991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669700</v>
      </c>
      <c r="M43" s="81">
        <f t="shared" ca="1" si="38"/>
        <v>334900</v>
      </c>
      <c r="N43" s="81">
        <f t="shared" ca="1" si="38"/>
        <v>232758</v>
      </c>
      <c r="O43" s="80">
        <f t="shared" ca="1" si="35"/>
        <v>34.755562192026282</v>
      </c>
      <c r="P43" s="80">
        <f t="shared" ca="1" si="36"/>
        <v>69.500746491489991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669700</v>
      </c>
      <c r="M45" s="93">
        <f ca="1">IFERROR(__xludf.DUMMYFUNCTION("IMPORTRANGE(""https://docs.google.com/spreadsheets/d/1Yj_ptqi66GCucihVvJfMjLAmec39IyEx_6qawtMGysU/edit?usp=sharing"",""สบก!Q31"")"),334900)</f>
        <v>334900</v>
      </c>
      <c r="N45" s="93">
        <f ca="1">IFERROR(__xludf.DUMMYFUNCTION("IMPORTRANGE(""https://docs.google.com/spreadsheets/d/1Yj_ptqi66GCucihVvJfMjLAmec39IyEx_6qawtMGysU/edit?usp=sharing"",""สบก!R31"")"),232758)</f>
        <v>232758</v>
      </c>
      <c r="O45" s="94">
        <f ca="1">IF(L45&gt;0,N45*100/L45,0)</f>
        <v>34.755562192026282</v>
      </c>
      <c r="P45" s="94">
        <f ca="1">IF(M45&gt;0,N45*100/M45,0)</f>
        <v>69.500746491489991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IFERROR(__xludf.DUMMYFUNCTION("IMPORTRANGE(""https://docs.google.com/spreadsheets/d/1Yj_ptqi66GCucihVvJfMjLAmec39IyEx_6qawtMGysU/edit?usp=sharing"",""สบก!M31"")"),669700)</f>
        <v>669700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IFERROR(__xludf.DUMMYFUNCTION("IMPORTRANGE(""https://docs.google.com/spreadsheets/d/1Yj_ptqi66GCucihVvJfMjLAmec39IyEx_6qawtMGysU/edit?usp=sharing"",""สบก!N31"")"),0)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IFERROR(__xludf.DUMMYFUNCTION("IMPORTRANGE(""https://docs.google.com/spreadsheets/d/1Yj_ptqi66GCucihVvJfMjLAmec39IyEx_6qawtMGysU/edit?usp=sharing"",""สบก!O31"")"),0)</f>
        <v>0</v>
      </c>
      <c r="M49" s="103"/>
      <c r="N49" s="93">
        <f ca="1">IFERROR(__xludf.DUMMYFUNCTION("IMPORTRANGE(""https://docs.google.com/spreadsheets/d/1Yj_ptqi66GCucihVvJfMjLAmec39IyEx_6qawtMGysU/edit?usp=sharing"",""สบก!S31"")"),0)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181500</v>
      </c>
      <c r="M53" s="127">
        <f t="shared" ca="1" si="39"/>
        <v>104300</v>
      </c>
      <c r="N53" s="127">
        <f t="shared" ca="1" si="39"/>
        <v>73850</v>
      </c>
      <c r="O53" s="126">
        <f t="shared" ref="O53:O55" ca="1" si="40">IF(L53&gt;0,N53*100/L53,0)</f>
        <v>40.688705234159777</v>
      </c>
      <c r="P53" s="126">
        <f t="shared" ref="P53:P55" ca="1" si="41">IF(M53&gt;0,N53*100/M53,0)</f>
        <v>70.805369127516784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181500</v>
      </c>
      <c r="M55" s="127">
        <f t="shared" ca="1" si="43"/>
        <v>104300</v>
      </c>
      <c r="N55" s="127">
        <f t="shared" ca="1" si="43"/>
        <v>73850</v>
      </c>
      <c r="O55" s="126">
        <f t="shared" ca="1" si="40"/>
        <v>40.688705234159777</v>
      </c>
      <c r="P55" s="126">
        <f t="shared" ca="1" si="41"/>
        <v>70.805369127516784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181500</v>
      </c>
      <c r="M57" s="93">
        <f ca="1">IFERROR(__xludf.DUMMYFUNCTION("IMPORTRANGE(""https://docs.google.com/spreadsheets/d/1Yj_ptqi66GCucihVvJfMjLAmec39IyEx_6qawtMGysU/edit?usp=sharing"",""สบก!Z31"")"),104300)</f>
        <v>104300</v>
      </c>
      <c r="N57" s="93">
        <f ca="1">IFERROR(__xludf.DUMMYFUNCTION("IMPORTRANGE(""https://docs.google.com/spreadsheets/d/1Yj_ptqi66GCucihVvJfMjLAmec39IyEx_6qawtMGysU/edit?usp=sharing"",""สบก!AA31"")"),73850)</f>
        <v>73850</v>
      </c>
      <c r="O57" s="94">
        <f ca="1">IF(L57&gt;0,N57*100/L57,0)</f>
        <v>40.688705234159777</v>
      </c>
      <c r="P57" s="94">
        <f ca="1">IF(M57&gt;0,N57*100/M57,0)</f>
        <v>70.805369127516784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IFERROR(__xludf.DUMMYFUNCTION("IMPORTRANGE(""https://docs.google.com/spreadsheets/d/1Yj_ptqi66GCucihVvJfMjLAmec39IyEx_6qawtMGysU/edit?usp=sharing"",""สบก!V31"")"),181500)</f>
        <v>181500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IFERROR(__xludf.DUMMYFUNCTION("IMPORTRANGE(""https://docs.google.com/spreadsheets/d/1Yj_ptqi66GCucihVvJfMjLAmec39IyEx_6qawtMGysU/edit?usp=sharing"",""สบก!W31"")"),0)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IFERROR(__xludf.DUMMYFUNCTION("IMPORTRANGE(""https://docs.google.com/spreadsheets/d/1Yj_ptqi66GCucihVvJfMjLAmec39IyEx_6qawtMGysU/edit?usp=sharing"",""สบก!X31"")"),0)</f>
        <v>0</v>
      </c>
      <c r="M61" s="103"/>
      <c r="N61" s="93">
        <f ca="1">IFERROR(__xludf.DUMMYFUNCTION("IMPORTRANGE(""https://docs.google.com/spreadsheets/d/1Yj_ptqi66GCucihVvJfMjLAmec39IyEx_6qawtMGysU/edit?usp=sharing"",""สบก!AB31"")"),0)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IFERROR(__xludf.DUMMYFUNCTION("IMPORTRANGE(""https://docs.google.com/spreadsheets/d/11923uPwbBZFjjGgGUA6NLw09EwE0CqkOc4q9oUmW1yo/edit?usp=sharing"",""แม่ฮ่องสอน!I9"")"),0)</f>
        <v>0</v>
      </c>
      <c r="J64" s="148">
        <f ca="1">IFERROR(__xludf.DUMMYFUNCTION("IMPORTRANGE(""https://docs.google.com/spreadsheets/d/11923uPwbBZFjjGgGUA6NLw09EwE0CqkOc4q9oUmW1yo/edit?usp=sharing"",""แม่ฮ่องสอน!J9"")"),0)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IFERROR(__xludf.DUMMYFUNCTION("IMPORTRANGE(""https://docs.google.com/spreadsheets/d/11923uPwbBZFjjGgGUA6NLw09EwE0CqkOc4q9oUmW1yo/edit?usp=sharing"",""แม่ฮ่องสอน!I10"")"),0)</f>
        <v>0</v>
      </c>
      <c r="J65" s="148">
        <f ca="1">IFERROR(__xludf.DUMMYFUNCTION("IMPORTRANGE(""https://docs.google.com/spreadsheets/d/11923uPwbBZFjjGgGUA6NLw09EwE0CqkOc4q9oUmW1yo/edit?usp=sharing"",""แม่ฮ่องสอน!J10"")"),0)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IFERROR(__xludf.DUMMYFUNCTION("IMPORTRANGE(""https://docs.google.com/spreadsheets/d/1Yj_ptqi66GCucihVvJfMjLAmec39IyEx_6qawtMGysU/edit?usp=sharing"",""สบก!AI31"")"),0)</f>
        <v>0</v>
      </c>
      <c r="N70" s="177">
        <f ca="1">IFERROR(__xludf.DUMMYFUNCTION("IMPORTRANGE(""https://docs.google.com/spreadsheets/d/1Yj_ptqi66GCucihVvJfMjLAmec39IyEx_6qawtMGysU/edit?usp=sharing"",""สบก!AJ31"")"),0)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IFERROR(__xludf.DUMMYFUNCTION("IMPORTRANGE(""https://docs.google.com/spreadsheets/d/1Yj_ptqi66GCucihVvJfMjLAmec39IyEx_6qawtMGysU/edit?usp=sharing"",""สบก!AE31"")"),0)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IFERROR(__xludf.DUMMYFUNCTION("IMPORTRANGE(""https://docs.google.com/spreadsheets/d/1Yj_ptqi66GCucihVvJfMjLAmec39IyEx_6qawtMGysU/edit?usp=sharing"",""สบก!AF31"")"),0)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IFERROR(__xludf.DUMMYFUNCTION("IMPORTRANGE(""https://docs.google.com/spreadsheets/d/1Yj_ptqi66GCucihVvJfMjLAmec39IyEx_6qawtMGysU/edit?usp=sharing"",""สบก!AG31"")"),0)</f>
        <v>0</v>
      </c>
      <c r="M74" s="103"/>
      <c r="N74" s="93">
        <f ca="1">IFERROR(__xludf.DUMMYFUNCTION("IMPORTRANGE(""https://docs.google.com/spreadsheets/d/1Yj_ptqi66GCucihVvJfMjLAmec39IyEx_6qawtMGysU/edit?usp=sharing"",""สบก!AK31"")"),0)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IFERROR(__xludf.DUMMYFUNCTION("IMPORTRANGE(""https://docs.google.com/spreadsheets/d/11923uPwbBZFjjGgGUA6NLw09EwE0CqkOc4q9oUmW1yo/edit?usp=sharing"",""แม่ฮ่องสอน!J16"")"),0)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IFERROR(__xludf.DUMMYFUNCTION("IMPORTRANGE(""https://docs.google.com/spreadsheets/d/11923uPwbBZFjjGgGUA6NLw09EwE0CqkOc4q9oUmW1yo/edit?usp=sharing"",""แม่ฮ่องสอน!J17"")"),0)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IFERROR(__xludf.DUMMYFUNCTION("IMPORTRANGE(""https://docs.google.com/spreadsheets/d/11923uPwbBZFjjGgGUA6NLw09EwE0CqkOc4q9oUmW1yo/edit?usp=sharing"",""แม่ฮ่องสอน!J18"")"),0)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IFERROR(__xludf.DUMMYFUNCTION("IMPORTRANGE(""https://docs.google.com/spreadsheets/d/11923uPwbBZFjjGgGUA6NLw09EwE0CqkOc4q9oUmW1yo/edit?usp=sharing"",""แม่ฮ่องสอน!J19"")"),0)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IFERROR(__xludf.DUMMYFUNCTION("IMPORTRANGE(""https://docs.google.com/spreadsheets/d/11923uPwbBZFjjGgGUA6NLw09EwE0CqkOc4q9oUmW1yo/edit?usp=sharing"",""แม่ฮ่องสอน!I20"")"),0)</f>
        <v>0</v>
      </c>
      <c r="J80" s="210">
        <f ca="1">IFERROR(__xludf.DUMMYFUNCTION("IMPORTRANGE(""https://docs.google.com/spreadsheets/d/11923uPwbBZFjjGgGUA6NLw09EwE0CqkOc4q9oUmW1yo/edit?usp=sharing"",""แม่ฮ่องสอน!J20"")"),0)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IFERROR(__xludf.DUMMYFUNCTION("IMPORTRANGE(""https://docs.google.com/spreadsheets/d/11923uPwbBZFjjGgGUA6NLw09EwE0CqkOc4q9oUmW1yo/edit?usp=sharing"",""แม่ฮ่องสอน!I21"")"),0)</f>
        <v>0</v>
      </c>
      <c r="J81" s="210">
        <f ca="1">IFERROR(__xludf.DUMMYFUNCTION("IMPORTRANGE(""https://docs.google.com/spreadsheets/d/11923uPwbBZFjjGgGUA6NLw09EwE0CqkOc4q9oUmW1yo/edit?usp=sharing"",""แม่ฮ่องสอน!J21"")"),0)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IFERROR(__xludf.DUMMYFUNCTION("IMPORTRANGE(""https://docs.google.com/spreadsheets/d/11923uPwbBZFjjGgGUA6NLw09EwE0CqkOc4q9oUmW1yo/edit?usp=sharing"",""แม่ฮ่องสอน!I22"")"),0)</f>
        <v>0</v>
      </c>
      <c r="J82" s="213">
        <f ca="1">IFERROR(__xludf.DUMMYFUNCTION("IMPORTRANGE(""https://docs.google.com/spreadsheets/d/11923uPwbBZFjjGgGUA6NLw09EwE0CqkOc4q9oUmW1yo/edit?usp=sharing"",""แม่ฮ่องสอน!J22"")"),0)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IFERROR(__xludf.DUMMYFUNCTION("IMPORTRANGE(""https://docs.google.com/spreadsheets/d/11923uPwbBZFjjGgGUA6NLw09EwE0CqkOc4q9oUmW1yo/edit?usp=sharing"",""แม่ฮ่องสอน!I23"")"),0)</f>
        <v>0</v>
      </c>
      <c r="J83" s="213">
        <f ca="1">IFERROR(__xludf.DUMMYFUNCTION("IMPORTRANGE(""https://docs.google.com/spreadsheets/d/11923uPwbBZFjjGgGUA6NLw09EwE0CqkOc4q9oUmW1yo/edit?usp=sharing"",""แม่ฮ่องสอน!J23"")"),0)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IFERROR(__xludf.DUMMYFUNCTION("IMPORTRANGE(""https://docs.google.com/spreadsheets/d/11923uPwbBZFjjGgGUA6NLw09EwE0CqkOc4q9oUmW1yo/edit?usp=sharing"",""แม่ฮ่องสอน!I24"")"),0)</f>
        <v>0</v>
      </c>
      <c r="J84" s="198">
        <f ca="1">IFERROR(__xludf.DUMMYFUNCTION("IMPORTRANGE(""https://docs.google.com/spreadsheets/d/11923uPwbBZFjjGgGUA6NLw09EwE0CqkOc4q9oUmW1yo/edit?usp=sharing"",""แม่ฮ่องสอน!J24"")"),0)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IFERROR(__xludf.DUMMYFUNCTION("IMPORTRANGE(""https://docs.google.com/spreadsheets/d/11923uPwbBZFjjGgGUA6NLw09EwE0CqkOc4q9oUmW1yo/edit?usp=sharing"",""แม่ฮ่องสอน!I25"")"),0)</f>
        <v>0</v>
      </c>
      <c r="J85" s="198">
        <f ca="1">IFERROR(__xludf.DUMMYFUNCTION("IMPORTRANGE(""https://docs.google.com/spreadsheets/d/11923uPwbBZFjjGgGUA6NLw09EwE0CqkOc4q9oUmW1yo/edit?usp=sharing"",""แม่ฮ่องสอน!J25"")"),0)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IFERROR(__xludf.DUMMYFUNCTION("IMPORTRANGE(""https://docs.google.com/spreadsheets/d/11923uPwbBZFjjGgGUA6NLw09EwE0CqkOc4q9oUmW1yo/edit?usp=sharing"",""แม่ฮ่องสอน!I26"")"),0)</f>
        <v>0</v>
      </c>
      <c r="J86" s="213">
        <f ca="1">IFERROR(__xludf.DUMMYFUNCTION("IMPORTRANGE(""https://docs.google.com/spreadsheets/d/11923uPwbBZFjjGgGUA6NLw09EwE0CqkOc4q9oUmW1yo/edit?usp=sharing"",""แม่ฮ่องสอน!J26"")"),0)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IFERROR(__xludf.DUMMYFUNCTION("IMPORTRANGE(""https://docs.google.com/spreadsheets/d/11923uPwbBZFjjGgGUA6NLw09EwE0CqkOc4q9oUmW1yo/edit?usp=sharing"",""แม่ฮ่องสอน!I27"")"),0)</f>
        <v>0</v>
      </c>
      <c r="J87" s="213">
        <f ca="1">IFERROR(__xludf.DUMMYFUNCTION("IMPORTRANGE(""https://docs.google.com/spreadsheets/d/11923uPwbBZFjjGgGUA6NLw09EwE0CqkOc4q9oUmW1yo/edit?usp=sharing"",""แม่ฮ่องสอน!J27"")"),0)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IFERROR(__xludf.DUMMYFUNCTION("IMPORTRANGE(""https://docs.google.com/spreadsheets/d/11923uPwbBZFjjGgGUA6NLw09EwE0CqkOc4q9oUmW1yo/edit?usp=sharing"",""แม่ฮ่องสอน!I28"")"),0)</f>
        <v>0</v>
      </c>
      <c r="J88" s="213">
        <f ca="1">IFERROR(__xludf.DUMMYFUNCTION("IMPORTRANGE(""https://docs.google.com/spreadsheets/d/11923uPwbBZFjjGgGUA6NLw09EwE0CqkOc4q9oUmW1yo/edit?usp=sharing"",""แม่ฮ่องสอน!J28"")"),0)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IFERROR(__xludf.DUMMYFUNCTION("IMPORTRANGE(""https://docs.google.com/spreadsheets/d/11923uPwbBZFjjGgGUA6NLw09EwE0CqkOc4q9oUmW1yo/edit?usp=sharing"",""แม่ฮ่องสอน!J29"")"),0)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IFERROR(__xludf.DUMMYFUNCTION("IMPORTRANGE(""https://docs.google.com/spreadsheets/d/11923uPwbBZFjjGgGUA6NLw09EwE0CqkOc4q9oUmW1yo/edit?usp=sharing"",""แม่ฮ่องสอน!J30"")"),0)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IFERROR(__xludf.DUMMYFUNCTION("IMPORTRANGE(""https://docs.google.com/spreadsheets/d/11923uPwbBZFjjGgGUA6NLw09EwE0CqkOc4q9oUmW1yo/edit?usp=sharing"",""แม่ฮ่องสอน!I32"")"),0)</f>
        <v>0</v>
      </c>
      <c r="J92" s="148">
        <f ca="1">IFERROR(__xludf.DUMMYFUNCTION("IMPORTRANGE(""https://docs.google.com/spreadsheets/d/11923uPwbBZFjjGgGUA6NLw09EwE0CqkOc4q9oUmW1yo/edit?usp=sharing"",""แม่ฮ่องสอน!J32"")"),0)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IFERROR(__xludf.DUMMYFUNCTION("IMPORTRANGE(""https://docs.google.com/spreadsheets/d/11923uPwbBZFjjGgGUA6NLw09EwE0CqkOc4q9oUmW1yo/edit?usp=sharing"",""แม่ฮ่องสอน!I33"")"),0)</f>
        <v>0</v>
      </c>
      <c r="J93" s="148">
        <f ca="1">IFERROR(__xludf.DUMMYFUNCTION("IMPORTRANGE(""https://docs.google.com/spreadsheets/d/11923uPwbBZFjjGgGUA6NLw09EwE0CqkOc4q9oUmW1yo/edit?usp=sharing"",""แม่ฮ่องสอน!J33"")"),0)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IFERROR(__xludf.DUMMYFUNCTION("IMPORTRANGE(""https://docs.google.com/spreadsheets/d/1Yj_ptqi66GCucihVvJfMjLAmec39IyEx_6qawtMGysU/edit?usp=sharing"",""สบก!AR31"")"),0)</f>
        <v>0</v>
      </c>
      <c r="N98" s="177">
        <f ca="1">IFERROR(__xludf.DUMMYFUNCTION("IMPORTRANGE(""https://docs.google.com/spreadsheets/d/1Yj_ptqi66GCucihVvJfMjLAmec39IyEx_6qawtMGysU/edit?usp=sharing"",""สบก!AS31"")"),0)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IFERROR(__xludf.DUMMYFUNCTION("IMPORTRANGE(""https://docs.google.com/spreadsheets/d/1Yj_ptqi66GCucihVvJfMjLAmec39IyEx_6qawtMGysU/edit?usp=sharing"",""สบก!AN31"")"),0)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IFERROR(__xludf.DUMMYFUNCTION("IMPORTRANGE(""https://docs.google.com/spreadsheets/d/1Yj_ptqi66GCucihVvJfMjLAmec39IyEx_6qawtMGysU/edit?usp=sharing"",""สบก!AO31"")"),0)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IFERROR(__xludf.DUMMYFUNCTION("IMPORTRANGE(""https://docs.google.com/spreadsheets/d/1Yj_ptqi66GCucihVvJfMjLAmec39IyEx_6qawtMGysU/edit?usp=sharing"",""สบก!AP31"")"),0)</f>
        <v>0</v>
      </c>
      <c r="M102" s="103"/>
      <c r="N102" s="93">
        <f ca="1">IFERROR(__xludf.DUMMYFUNCTION("IMPORTRANGE(""https://docs.google.com/spreadsheets/d/1Yj_ptqi66GCucihVvJfMjLAmec39IyEx_6qawtMGysU/edit?usp=sharing"",""สบก!AT31"")"),0)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IFERROR(__xludf.DUMMYFUNCTION("IMPORTRANGE(""https://docs.google.com/spreadsheets/d/11923uPwbBZFjjGgGUA6NLw09EwE0CqkOc4q9oUmW1yo/edit?usp=sharing"",""แม่ฮ่องสอน!J39"")"),0)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IFERROR(__xludf.DUMMYFUNCTION("IMPORTRANGE(""https://docs.google.com/spreadsheets/d/11923uPwbBZFjjGgGUA6NLw09EwE0CqkOc4q9oUmW1yo/edit?usp=sharing"",""แม่ฮ่องสอน!J40"")"),0)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IFERROR(__xludf.DUMMYFUNCTION("IMPORTRANGE(""https://docs.google.com/spreadsheets/d/11923uPwbBZFjjGgGUA6NLw09EwE0CqkOc4q9oUmW1yo/edit?usp=sharing"",""แม่ฮ่องสอน!J41"")"),0)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IFERROR(__xludf.DUMMYFUNCTION("IMPORTRANGE(""https://docs.google.com/spreadsheets/d/11923uPwbBZFjjGgGUA6NLw09EwE0CqkOc4q9oUmW1yo/edit?usp=sharing"",""แม่ฮ่องสอน!J42"")"),0)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IFERROR(__xludf.DUMMYFUNCTION("IMPORTRANGE(""https://docs.google.com/spreadsheets/d/11923uPwbBZFjjGgGUA6NLw09EwE0CqkOc4q9oUmW1yo/edit?usp=sharing"",""แม่ฮ่องสอน!I43"")"),0)</f>
        <v>0</v>
      </c>
      <c r="J108" s="213">
        <f ca="1">IFERROR(__xludf.DUMMYFUNCTION("IMPORTRANGE(""https://docs.google.com/spreadsheets/d/11923uPwbBZFjjGgGUA6NLw09EwE0CqkOc4q9oUmW1yo/edit?usp=sharing"",""แม่ฮ่องสอน!J43"")"),0)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IFERROR(__xludf.DUMMYFUNCTION("IMPORTRANGE(""https://docs.google.com/spreadsheets/d/11923uPwbBZFjjGgGUA6NLw09EwE0CqkOc4q9oUmW1yo/edit?usp=sharing"",""แม่ฮ่องสอน!I44"")"),0)</f>
        <v>0</v>
      </c>
      <c r="J109" s="213">
        <f ca="1">IFERROR(__xludf.DUMMYFUNCTION("IMPORTRANGE(""https://docs.google.com/spreadsheets/d/11923uPwbBZFjjGgGUA6NLw09EwE0CqkOc4q9oUmW1yo/edit?usp=sharing"",""แม่ฮ่องสอน!J44"")"),0)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IFERROR(__xludf.DUMMYFUNCTION("IMPORTRANGE(""https://docs.google.com/spreadsheets/d/11923uPwbBZFjjGgGUA6NLw09EwE0CqkOc4q9oUmW1yo/edit?usp=sharing"",""แม่ฮ่องสอน!I45"")"),0)</f>
        <v>0</v>
      </c>
      <c r="J110" s="213">
        <f ca="1">IFERROR(__xludf.DUMMYFUNCTION("IMPORTRANGE(""https://docs.google.com/spreadsheets/d/11923uPwbBZFjjGgGUA6NLw09EwE0CqkOc4q9oUmW1yo/edit?usp=sharing"",""แม่ฮ่องสอน!J45"")"),0)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IFERROR(__xludf.DUMMYFUNCTION("IMPORTRANGE(""https://docs.google.com/spreadsheets/d/11923uPwbBZFjjGgGUA6NLw09EwE0CqkOc4q9oUmW1yo/edit?usp=sharing"",""แม่ฮ่องสอน!I46"")"),0)</f>
        <v>0</v>
      </c>
      <c r="J111" s="213">
        <f ca="1">IFERROR(__xludf.DUMMYFUNCTION("IMPORTRANGE(""https://docs.google.com/spreadsheets/d/11923uPwbBZFjjGgGUA6NLw09EwE0CqkOc4q9oUmW1yo/edit?usp=sharing"",""แม่ฮ่องสอน!J46"")"),0)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IFERROR(__xludf.DUMMYFUNCTION("IMPORTRANGE(""https://docs.google.com/spreadsheets/d/11923uPwbBZFjjGgGUA6NLw09EwE0CqkOc4q9oUmW1yo/edit?usp=sharing"",""แม่ฮ่องสอน!I47"")"),0)</f>
        <v>0</v>
      </c>
      <c r="J112" s="213">
        <f ca="1">IFERROR(__xludf.DUMMYFUNCTION("IMPORTRANGE(""https://docs.google.com/spreadsheets/d/11923uPwbBZFjjGgGUA6NLw09EwE0CqkOc4q9oUmW1yo/edit?usp=sharing"",""แม่ฮ่องสอน!J47"")"),0)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IFERROR(__xludf.DUMMYFUNCTION("IMPORTRANGE(""https://docs.google.com/spreadsheets/d/11923uPwbBZFjjGgGUA6NLw09EwE0CqkOc4q9oUmW1yo/edit?usp=sharing"",""แม่ฮ่องสอน!I48"")"),0)</f>
        <v>0</v>
      </c>
      <c r="J113" s="213">
        <f ca="1">IFERROR(__xludf.DUMMYFUNCTION("IMPORTRANGE(""https://docs.google.com/spreadsheets/d/11923uPwbBZFjjGgGUA6NLw09EwE0CqkOc4q9oUmW1yo/edit?usp=sharing"",""แม่ฮ่องสอน!J48"")"),0)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IFERROR(__xludf.DUMMYFUNCTION("IMPORTRANGE(""https://docs.google.com/spreadsheets/d/11923uPwbBZFjjGgGUA6NLw09EwE0CqkOc4q9oUmW1yo/edit?usp=sharing"",""แม่ฮ่องสอน!J49"")"),0)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IFERROR(__xludf.DUMMYFUNCTION("IMPORTRANGE(""https://docs.google.com/spreadsheets/d/11923uPwbBZFjjGgGUA6NLw09EwE0CqkOc4q9oUmW1yo/edit?usp=sharing"",""แม่ฮ่องสอน!J50"")"),0)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IFERROR(__xludf.DUMMYFUNCTION("IMPORTRANGE(""https://docs.google.com/spreadsheets/d/11923uPwbBZFjjGgGUA6NLw09EwE0CqkOc4q9oUmW1yo/edit?usp=sharing"",""แม่ฮ่องสอน!I52"")"),20)</f>
        <v>20</v>
      </c>
      <c r="J117" s="148">
        <f ca="1">IFERROR(__xludf.DUMMYFUNCTION("IMPORTRANGE(""https://docs.google.com/spreadsheets/d/11923uPwbBZFjjGgGUA6NLw09EwE0CqkOc4q9oUmW1yo/edit?usp=sharing"",""แม่ฮ่องสอน!J52"")"),20)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42892</v>
      </c>
      <c r="O118" s="157">
        <f t="shared" ref="O118:O120" ca="1" si="59">IF(L118&gt;0,N118*100/L118,0)</f>
        <v>52.0281416787967</v>
      </c>
      <c r="P118" s="157">
        <f t="shared" ref="P118:P120" ca="1" si="60">IF(M118&gt;0,N118*100/M118,0)</f>
        <v>64.557495484647802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42892</v>
      </c>
      <c r="O120" s="162">
        <f t="shared" ca="1" si="59"/>
        <v>52.0281416787967</v>
      </c>
      <c r="P120" s="162">
        <f t="shared" ca="1" si="60"/>
        <v>64.557495484647802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IFERROR(__xludf.DUMMYFUNCTION("IMPORTRANGE(""https://docs.google.com/spreadsheets/d/1Yj_ptqi66GCucihVvJfMjLAmec39IyEx_6qawtMGysU/edit?usp=sharing"",""สบก!BA31"")"),66440)</f>
        <v>66440</v>
      </c>
      <c r="N122" s="177">
        <f ca="1">IFERROR(__xludf.DUMMYFUNCTION("IMPORTRANGE(""https://docs.google.com/spreadsheets/d/1Yj_ptqi66GCucihVvJfMjLAmec39IyEx_6qawtMGysU/edit?usp=sharing"",""สบก!BB31"")"),42892)</f>
        <v>42892</v>
      </c>
      <c r="O122" s="178">
        <f ca="1">IF(L122&gt;0,N122*100/L122,0)</f>
        <v>52.0281416787967</v>
      </c>
      <c r="P122" s="178">
        <f ca="1">IF(M122&gt;0,N122*100/M122,0)</f>
        <v>64.557495484647802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IFERROR(__xludf.DUMMYFUNCTION("IMPORTRANGE(""https://docs.google.com/spreadsheets/d/1Yj_ptqi66GCucihVvJfMjLAmec39IyEx_6qawtMGysU/edit?usp=sharing"",""สบก!AW31"")"),0)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IFERROR(__xludf.DUMMYFUNCTION("IMPORTRANGE(""https://docs.google.com/spreadsheets/d/1Yj_ptqi66GCucihVvJfMjLAmec39IyEx_6qawtMGysU/edit?usp=sharing"",""สบก!AX31"")"),82440)</f>
        <v>82440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IFERROR(__xludf.DUMMYFUNCTION("IMPORTRANGE(""https://docs.google.com/spreadsheets/d/1Yj_ptqi66GCucihVvJfMjLAmec39IyEx_6qawtMGysU/edit?usp=sharing"",""สบก!AY31"")"),0)</f>
        <v>0</v>
      </c>
      <c r="M126" s="103"/>
      <c r="N126" s="93">
        <f ca="1">IFERROR(__xludf.DUMMYFUNCTION("IMPORTRANGE(""https://docs.google.com/spreadsheets/d/1Yj_ptqi66GCucihVvJfMjLAmec39IyEx_6qawtMGysU/edit?usp=sharing"",""สบก!BC31"")"),0)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261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IFERROR(__xludf.DUMMYFUNCTION("IMPORTRANGE(""https://docs.google.com/spreadsheets/d/11923uPwbBZFjjGgGUA6NLw09EwE0CqkOc4q9oUmW1yo/edit?usp=sharing"",""แม่ฮ่องสอน!J58"")"),0)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IFERROR(__xludf.DUMMYFUNCTION("IMPORTRANGE(""https://docs.google.com/spreadsheets/d/11923uPwbBZFjjGgGUA6NLw09EwE0CqkOc4q9oUmW1yo/edit?usp=sharing"",""แม่ฮ่องสอน!J59"")"),1)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IFERROR(__xludf.DUMMYFUNCTION("IMPORTRANGE(""https://docs.google.com/spreadsheets/d/11923uPwbBZFjjGgGUA6NLw09EwE0CqkOc4q9oUmW1yo/edit?usp=sharing"",""แม่ฮ่องสอน!J60"")"),1)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IFERROR(__xludf.DUMMYFUNCTION("IMPORTRANGE(""https://docs.google.com/spreadsheets/d/11923uPwbBZFjjGgGUA6NLw09EwE0CqkOc4q9oUmW1yo/edit?usp=sharing"",""แม่ฮ่องสอน!J61"")"),1)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IFERROR(__xludf.DUMMYFUNCTION("IMPORTRANGE(""https://docs.google.com/spreadsheets/d/11923uPwbBZFjjGgGUA6NLw09EwE0CqkOc4q9oUmW1yo/edit?usp=sharing"",""แม่ฮ่องสอน!I62"")"),20)</f>
        <v>20</v>
      </c>
      <c r="J132" s="213">
        <f ca="1">IFERROR(__xludf.DUMMYFUNCTION("IMPORTRANGE(""https://docs.google.com/spreadsheets/d/11923uPwbBZFjjGgGUA6NLw09EwE0CqkOc4q9oUmW1yo/edit?usp=sharing"",""แม่ฮ่องสอน!J62"")"),20)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IFERROR(__xludf.DUMMYFUNCTION("IMPORTRANGE(""https://docs.google.com/spreadsheets/d/11923uPwbBZFjjGgGUA6NLw09EwE0CqkOc4q9oUmW1yo/edit?usp=sharing"",""แม่ฮ่องสอน!I63"")"),20)</f>
        <v>20</v>
      </c>
      <c r="J133" s="213">
        <f ca="1">IFERROR(__xludf.DUMMYFUNCTION("IMPORTRANGE(""https://docs.google.com/spreadsheets/d/11923uPwbBZFjjGgGUA6NLw09EwE0CqkOc4q9oUmW1yo/edit?usp=sharing"",""แม่ฮ่องสอน!J63"")"),20)</f>
        <v>20</v>
      </c>
      <c r="K133" s="233">
        <f t="shared" ca="1" si="63"/>
        <v>100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IFERROR(__xludf.DUMMYFUNCTION("IMPORTRANGE(""https://docs.google.com/spreadsheets/d/11923uPwbBZFjjGgGUA6NLw09EwE0CqkOc4q9oUmW1yo/edit?usp=sharing"",""แม่ฮ่องสอน!J64"")"),0)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IFERROR(__xludf.DUMMYFUNCTION("IMPORTRANGE(""https://docs.google.com/spreadsheets/d/11923uPwbBZFjjGgGUA6NLw09EwE0CqkOc4q9oUmW1yo/edit?usp=sharing"",""แม่ฮ่องสอน!J65"")"),0)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IFERROR(__xludf.DUMMYFUNCTION("IMPORTRANGE(""https://docs.google.com/spreadsheets/d/11923uPwbBZFjjGgGUA6NLw09EwE0CqkOc4q9oUmW1yo/edit?usp=sharing"",""แม่ฮ่องสอน!I68"")"),0)</f>
        <v>0</v>
      </c>
      <c r="J138" s="276">
        <f ca="1">IFERROR(__xludf.DUMMYFUNCTION("IMPORTRANGE(""https://docs.google.com/spreadsheets/d/11923uPwbBZFjjGgGUA6NLw09EwE0CqkOc4q9oUmW1yo/edit?usp=sharing"",""แม่ฮ่องสอน!J68"")"),0)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69500</v>
      </c>
      <c r="M140" s="158">
        <f t="shared" ca="1" si="64"/>
        <v>31750</v>
      </c>
      <c r="N140" s="158">
        <f t="shared" ca="1" si="64"/>
        <v>28940</v>
      </c>
      <c r="O140" s="157">
        <f t="shared" ref="O140:O142" ca="1" si="65">IF(L140&gt;0,N140*100/L140,0)</f>
        <v>41.640287769784173</v>
      </c>
      <c r="P140" s="157">
        <f t="shared" ref="P140:P142" ca="1" si="66">IF(M140&gt;0,N140*100/M140,0)</f>
        <v>91.149606299212593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69500</v>
      </c>
      <c r="M142" s="163">
        <f t="shared" ca="1" si="68"/>
        <v>31750</v>
      </c>
      <c r="N142" s="163">
        <f t="shared" ca="1" si="68"/>
        <v>28940</v>
      </c>
      <c r="O142" s="162">
        <f t="shared" ca="1" si="65"/>
        <v>41.640287769784173</v>
      </c>
      <c r="P142" s="162">
        <f t="shared" ca="1" si="66"/>
        <v>91.149606299212593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69500</v>
      </c>
      <c r="M144" s="176">
        <f ca="1">IFERROR(__xludf.DUMMYFUNCTION("IMPORTRANGE(""https://docs.google.com/spreadsheets/d/1Yj_ptqi66GCucihVvJfMjLAmec39IyEx_6qawtMGysU/edit?usp=sharing"",""สบก!BJ31"")"),31750)</f>
        <v>31750</v>
      </c>
      <c r="N144" s="177">
        <f ca="1">IFERROR(__xludf.DUMMYFUNCTION("IMPORTRANGE(""https://docs.google.com/spreadsheets/d/1Yj_ptqi66GCucihVvJfMjLAmec39IyEx_6qawtMGysU/edit?usp=sharing"",""สบก!BK31"")"),28940)</f>
        <v>28940</v>
      </c>
      <c r="O144" s="178">
        <f ca="1">IF(L144&gt;0,N144*100/L144,0)</f>
        <v>41.640287769784173</v>
      </c>
      <c r="P144" s="178">
        <f ca="1">IF(M144&gt;0,N144*100/M144,0)</f>
        <v>91.149606299212593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IFERROR(__xludf.DUMMYFUNCTION("IMPORTRANGE(""https://docs.google.com/spreadsheets/d/1Yj_ptqi66GCucihVvJfMjLAmec39IyEx_6qawtMGysU/edit?usp=sharing"",""สบก!BF31"")"),0)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IFERROR(__xludf.DUMMYFUNCTION("IMPORTRANGE(""https://docs.google.com/spreadsheets/d/1Yj_ptqi66GCucihVvJfMjLAmec39IyEx_6qawtMGysU/edit?usp=sharing"",""สบก!BG31"")"),69500)</f>
        <v>69500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IFERROR(__xludf.DUMMYFUNCTION("IMPORTRANGE(""https://docs.google.com/spreadsheets/d/1Yj_ptqi66GCucihVvJfMjLAmec39IyEx_6qawtMGysU/edit?usp=sharing"",""สบก!BH31"")"),0)</f>
        <v>0</v>
      </c>
      <c r="M148" s="103"/>
      <c r="N148" s="93">
        <f ca="1">IFERROR(__xludf.DUMMYFUNCTION("IMPORTRANGE(""https://docs.google.com/spreadsheets/d/1Yj_ptqi66GCucihVvJfMjLAmec39IyEx_6qawtMGysU/edit?usp=sharing"",""สบก!BL31"")"),0)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IFERROR(__xludf.DUMMYFUNCTION("IMPORTRANGE(""https://docs.google.com/spreadsheets/d/11923uPwbBZFjjGgGUA6NLw09EwE0CqkOc4q9oUmW1yo/edit?usp=sharing"",""แม่ฮ่องสอน!I74"")"),4)</f>
        <v>4</v>
      </c>
      <c r="J149" s="284">
        <f ca="1">IFERROR(__xludf.DUMMYFUNCTION("IMPORTRANGE(""https://docs.google.com/spreadsheets/d/11923uPwbBZFjjGgGUA6NLw09EwE0CqkOc4q9oUmW1yo/edit?usp=sharing"",""แม่ฮ่องสอน!J74"")"),1)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IFERROR(__xludf.DUMMYFUNCTION("IMPORTRANGE(""https://docs.google.com/spreadsheets/d/11923uPwbBZFjjGgGUA6NLw09EwE0CqkOc4q9oUmW1yo/edit?usp=sharing"",""แม่ฮ่องสอน!J79"")"),0)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IFERROR(__xludf.DUMMYFUNCTION("IMPORTRANGE(""https://docs.google.com/spreadsheets/d/11923uPwbBZFjjGgGUA6NLw09EwE0CqkOc4q9oUmW1yo/edit?usp=sharing"",""แม่ฮ่องสอน!J80"")"),1)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IFERROR(__xludf.DUMMYFUNCTION("IMPORTRANGE(""https://docs.google.com/spreadsheets/d/11923uPwbBZFjjGgGUA6NLw09EwE0CqkOc4q9oUmW1yo/edit?usp=sharing"",""แม่ฮ่องสอน!J81"")"),1)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IFERROR(__xludf.DUMMYFUNCTION("IMPORTRANGE(""https://docs.google.com/spreadsheets/d/11923uPwbBZFjjGgGUA6NLw09EwE0CqkOc4q9oUmW1yo/edit?usp=sharing"",""แม่ฮ่องสอน!J82"")"),1)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IFERROR(__xludf.DUMMYFUNCTION("IMPORTRANGE(""https://docs.google.com/spreadsheets/d/11923uPwbBZFjjGgGUA6NLw09EwE0CqkOc4q9oUmW1yo/edit?usp=sharing"",""แม่ฮ่องสอน!I83"")"),4)</f>
        <v>4</v>
      </c>
      <c r="J158" s="198">
        <f ca="1">IFERROR(__xludf.DUMMYFUNCTION("IMPORTRANGE(""https://docs.google.com/spreadsheets/d/11923uPwbBZFjjGgGUA6NLw09EwE0CqkOc4q9oUmW1yo/edit?usp=sharing"",""แม่ฮ่องสอน!J83"")"),1)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IFERROR(__xludf.DUMMYFUNCTION("IMPORTRANGE(""https://docs.google.com/spreadsheets/d/11923uPwbBZFjjGgGUA6NLw09EwE0CqkOc4q9oUmW1yo/edit?usp=sharing"",""แม่ฮ่องสอน!J84"")"),20)</f>
        <v>20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IFERROR(__xludf.DUMMYFUNCTION("IMPORTRANGE(""https://docs.google.com/spreadsheets/d/11923uPwbBZFjjGgGUA6NLw09EwE0CqkOc4q9oUmW1yo/edit?usp=sharing"",""แม่ฮ่องสอน!J85"")"),20)</f>
        <v>20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IFERROR(__xludf.DUMMYFUNCTION("IMPORTRANGE(""https://docs.google.com/spreadsheets/d/11923uPwbBZFjjGgGUA6NLw09EwE0CqkOc4q9oUmW1yo/edit?usp=sharing"",""แม่ฮ่องสอน!J86"")"),0)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IFERROR(__xludf.DUMMYFUNCTION("IMPORTRANGE(""https://docs.google.com/spreadsheets/d/11923uPwbBZFjjGgGUA6NLw09EwE0CqkOc4q9oUmW1yo/edit?usp=sharing"",""แม่ฮ่องสอน!J87"")"),0)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IFERROR(__xludf.DUMMYFUNCTION("IMPORTRANGE(""https://docs.google.com/spreadsheets/d/11923uPwbBZFjjGgGUA6NLw09EwE0CqkOc4q9oUmW1yo/edit?usp=sharing"",""แม่ฮ่องสอน!J88"")"),0)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IFERROR(__xludf.DUMMYFUNCTION("IMPORTRANGE(""https://docs.google.com/spreadsheets/d/11923uPwbBZFjjGgGUA6NLw09EwE0CqkOc4q9oUmW1yo/edit?usp=sharing"",""แม่ฮ่องสอน!I89"")"),2)</f>
        <v>2</v>
      </c>
      <c r="J164" s="292">
        <f ca="1">IFERROR(__xludf.DUMMYFUNCTION("IMPORTRANGE(""https://docs.google.com/spreadsheets/d/11923uPwbBZFjjGgGUA6NLw09EwE0CqkOc4q9oUmW1yo/edit?usp=sharing"",""แม่ฮ่องสอน!J89"")"),2)</f>
        <v>2</v>
      </c>
      <c r="K164" s="293">
        <f ca="1">IF(I164&gt;0,J164*100/I164,0)</f>
        <v>100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IFERROR(__xludf.DUMMYFUNCTION("IMPORTRANGE(""https://docs.google.com/spreadsheets/d/11923uPwbBZFjjGgGUA6NLw09EwE0CqkOc4q9oUmW1yo/edit?usp=sharing"",""แม่ฮ่องสอน!J94"")"),0)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IFERROR(__xludf.DUMMYFUNCTION("IMPORTRANGE(""https://docs.google.com/spreadsheets/d/11923uPwbBZFjjGgGUA6NLw09EwE0CqkOc4q9oUmW1yo/edit?usp=sharing"",""แม่ฮ่องสอน!J95"")"),1)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IFERROR(__xludf.DUMMYFUNCTION("IMPORTRANGE(""https://docs.google.com/spreadsheets/d/11923uPwbBZFjjGgGUA6NLw09EwE0CqkOc4q9oUmW1yo/edit?usp=sharing"",""แม่ฮ่องสอน!J96"")"),1)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IFERROR(__xludf.DUMMYFUNCTION("IMPORTRANGE(""https://docs.google.com/spreadsheets/d/11923uPwbBZFjjGgGUA6NLw09EwE0CqkOc4q9oUmW1yo/edit?usp=sharing"",""แม่ฮ่องสอน!J97"")"),1)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IFERROR(__xludf.DUMMYFUNCTION("IMPORTRANGE(""https://docs.google.com/spreadsheets/d/11923uPwbBZFjjGgGUA6NLw09EwE0CqkOc4q9oUmW1yo/edit?usp=sharing"",""แม่ฮ่องสอน!I98"")"),2)</f>
        <v>2</v>
      </c>
      <c r="J173" s="198">
        <f ca="1">IFERROR(__xludf.DUMMYFUNCTION("IMPORTRANGE(""https://docs.google.com/spreadsheets/d/11923uPwbBZFjjGgGUA6NLw09EwE0CqkOc4q9oUmW1yo/edit?usp=sharing"",""แม่ฮ่องสอน!J98"")"),2)</f>
        <v>2</v>
      </c>
      <c r="K173" s="171">
        <f ca="1">IF(I173&gt;0,J173*100/I173,0)</f>
        <v>100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IFERROR(__xludf.DUMMYFUNCTION("IMPORTRANGE(""https://docs.google.com/spreadsheets/d/11923uPwbBZFjjGgGUA6NLw09EwE0CqkOc4q9oUmW1yo/edit?usp=sharing"",""แม่ฮ่องสอน!J99"")"),0)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IFERROR(__xludf.DUMMYFUNCTION("IMPORTRANGE(""https://docs.google.com/spreadsheets/d/11923uPwbBZFjjGgGUA6NLw09EwE0CqkOc4q9oUmW1yo/edit?usp=sharing"",""แม่ฮ่องสอน!J100"")"),0)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IFERROR(__xludf.DUMMYFUNCTION("IMPORTRANGE(""https://docs.google.com/spreadsheets/d/11923uPwbBZFjjGgGUA6NLw09EwE0CqkOc4q9oUmW1yo/edit?usp=sharing"",""แม่ฮ่องสอน!I101"")"),0)</f>
        <v>0</v>
      </c>
      <c r="J176" s="292">
        <f ca="1">IFERROR(__xludf.DUMMYFUNCTION("IMPORTRANGE(""https://docs.google.com/spreadsheets/d/11923uPwbBZFjjGgGUA6NLw09EwE0CqkOc4q9oUmW1yo/edit?usp=sharing"",""แม่ฮ่องสอน!J101"")"),0)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IFERROR(__xludf.DUMMYFUNCTION("IMPORTRANGE(""https://docs.google.com/spreadsheets/d/11923uPwbBZFjjGgGUA6NLw09EwE0CqkOc4q9oUmW1yo/edit?usp=sharing"",""แม่ฮ่องสอน!J106"")"),0)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IFERROR(__xludf.DUMMYFUNCTION("IMPORTRANGE(""https://docs.google.com/spreadsheets/d/11923uPwbBZFjjGgGUA6NLw09EwE0CqkOc4q9oUmW1yo/edit?usp=sharing"",""แม่ฮ่องสอน!J107"")"),0)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IFERROR(__xludf.DUMMYFUNCTION("IMPORTRANGE(""https://docs.google.com/spreadsheets/d/11923uPwbBZFjjGgGUA6NLw09EwE0CqkOc4q9oUmW1yo/edit?usp=sharing"",""แม่ฮ่องสอน!J108"")"),0)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IFERROR(__xludf.DUMMYFUNCTION("IMPORTRANGE(""https://docs.google.com/spreadsheets/d/11923uPwbBZFjjGgGUA6NLw09EwE0CqkOc4q9oUmW1yo/edit?usp=sharing"",""แม่ฮ่องสอน!J109"")"),0)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IFERROR(__xludf.DUMMYFUNCTION("IMPORTRANGE(""https://docs.google.com/spreadsheets/d/11923uPwbBZFjjGgGUA6NLw09EwE0CqkOc4q9oUmW1yo/edit?usp=sharing"",""แม่ฮ่องสอน!I110"")"),0)</f>
        <v>0</v>
      </c>
      <c r="J185" s="213">
        <f ca="1">IFERROR(__xludf.DUMMYFUNCTION("IMPORTRANGE(""https://docs.google.com/spreadsheets/d/11923uPwbBZFjjGgGUA6NLw09EwE0CqkOc4q9oUmW1yo/edit?usp=sharing"",""แม่ฮ่องสอน!J110"")"),0)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IFERROR(__xludf.DUMMYFUNCTION("IMPORTRANGE(""https://docs.google.com/spreadsheets/d/11923uPwbBZFjjGgGUA6NLw09EwE0CqkOc4q9oUmW1yo/edit?usp=sharing"",""แม่ฮ่องสอน!I111"")"),0)</f>
        <v>0</v>
      </c>
      <c r="J186" s="213">
        <f ca="1">IFERROR(__xludf.DUMMYFUNCTION("IMPORTRANGE(""https://docs.google.com/spreadsheets/d/11923uPwbBZFjjGgGUA6NLw09EwE0CqkOc4q9oUmW1yo/edit?usp=sharing"",""แม่ฮ่องสอน!J111"")"),0)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IFERROR(__xludf.DUMMYFUNCTION("IMPORTRANGE(""https://docs.google.com/spreadsheets/d/11923uPwbBZFjjGgGUA6NLw09EwE0CqkOc4q9oUmW1yo/edit?usp=sharing"",""แม่ฮ่องสอน!J112"")"),0)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IFERROR(__xludf.DUMMYFUNCTION("IMPORTRANGE(""https://docs.google.com/spreadsheets/d/11923uPwbBZFjjGgGUA6NLw09EwE0CqkOc4q9oUmW1yo/edit?usp=sharing"",""แม่ฮ่องสอน!J113"")"),0)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IFERROR(__xludf.DUMMYFUNCTION("IMPORTRANGE(""https://docs.google.com/spreadsheets/d/11923uPwbBZFjjGgGUA6NLw09EwE0CqkOc4q9oUmW1yo/edit?usp=sharing"",""แม่ฮ่องสอน!I114"")"),100000)</f>
        <v>100000</v>
      </c>
      <c r="J189" s="292">
        <f ca="1">IFERROR(__xludf.DUMMYFUNCTION("IMPORTRANGE(""https://docs.google.com/spreadsheets/d/11923uPwbBZFjjGgGUA6NLw09EwE0CqkOc4q9oUmW1yo/edit?usp=sharing"",""แม่ฮ่องสอน!J114"")"),0)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IFERROR(__xludf.DUMMYFUNCTION("IMPORTRANGE(""https://docs.google.com/spreadsheets/d/11923uPwbBZFjjGgGUA6NLw09EwE0CqkOc4q9oUmW1yo/edit?usp=sharing"",""แม่ฮ่องสอน!J119"")"),0)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IFERROR(__xludf.DUMMYFUNCTION("IMPORTRANGE(""https://docs.google.com/spreadsheets/d/11923uPwbBZFjjGgGUA6NLw09EwE0CqkOc4q9oUmW1yo/edit?usp=sharing"",""แม่ฮ่องสอน!J120"")"),1)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IFERROR(__xludf.DUMMYFUNCTION("IMPORTRANGE(""https://docs.google.com/spreadsheets/d/11923uPwbBZFjjGgGUA6NLw09EwE0CqkOc4q9oUmW1yo/edit?usp=sharing"",""แม่ฮ่องสอน!J121"")"),1)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IFERROR(__xludf.DUMMYFUNCTION("IMPORTRANGE(""https://docs.google.com/spreadsheets/d/11923uPwbBZFjjGgGUA6NLw09EwE0CqkOc4q9oUmW1yo/edit?usp=sharing"",""แม่ฮ่องสอน!J122"")"),1)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9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71">
        <f t="shared" ref="K199:K201" ca="1" si="70">IF(I199&gt;0,J199*100/I199,0)</f>
        <v>100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98">
        <f ca="1">IFERROR(__xludf.DUMMYFUNCTION("IMPORTRANGE(""https://docs.google.com/spreadsheets/d/11923uPwbBZFjjGgGUA6NLw09EwE0CqkOc4q9oUmW1yo/edit?usp=sharing"",""แม่ฮ่องสอน!J125"")"),0)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IFERROR(__xludf.DUMMYFUNCTION("IMPORTRANGE(""https://docs.google.com/spreadsheets/d/11923uPwbBZFjjGgGUA6NLw09EwE0CqkOc4q9oUmW1yo/edit?usp=sharing"",""แม่ฮ่องสอน!I126"")"),0)</f>
        <v>0</v>
      </c>
      <c r="J201" s="198">
        <f ca="1">IFERROR(__xludf.DUMMYFUNCTION("IMPORTRANGE(""https://docs.google.com/spreadsheets/d/11923uPwbBZFjjGgGUA6NLw09EwE0CqkOc4q9oUmW1yo/edit?usp=sharing"",""แม่ฮ่องสอน!J126"")"),0)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IFERROR(__xludf.DUMMYFUNCTION("IMPORTRANGE(""https://docs.google.com/spreadsheets/d/11923uPwbBZFjjGgGUA6NLw09EwE0CqkOc4q9oUmW1yo/edit?usp=sharing"",""แม่ฮ่องสอน!J127"")"),0)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IFERROR(__xludf.DUMMYFUNCTION("IMPORTRANGE(""https://docs.google.com/spreadsheets/d/11923uPwbBZFjjGgGUA6NLw09EwE0CqkOc4q9oUmW1yo/edit?usp=sharing"",""แม่ฮ่องสอน!J128"")"),0)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IFERROR(__xludf.DUMMYFUNCTION("IMPORTRANGE(""https://docs.google.com/spreadsheets/d/11923uPwbBZFjjGgGUA6NLw09EwE0CqkOc4q9oUmW1yo/edit?usp=sharing"",""แม่ฮ่องสอน!I129"")"),0)</f>
        <v>0</v>
      </c>
      <c r="J204" s="292">
        <f ca="1">IFERROR(__xludf.DUMMYFUNCTION("IMPORTRANGE(""https://docs.google.com/spreadsheets/d/11923uPwbBZFjjGgGUA6NLw09EwE0CqkOc4q9oUmW1yo/edit?usp=sharing"",""แม่ฮ่องสอน!J129"")"),0)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IFERROR(__xludf.DUMMYFUNCTION("IMPORTRANGE(""https://docs.google.com/spreadsheets/d/11923uPwbBZFjjGgGUA6NLw09EwE0CqkOc4q9oUmW1yo/edit?usp=sharing"",""แม่ฮ่องสอน!J134"")"),0)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IFERROR(__xludf.DUMMYFUNCTION("IMPORTRANGE(""https://docs.google.com/spreadsheets/d/11923uPwbBZFjjGgGUA6NLw09EwE0CqkOc4q9oUmW1yo/edit?usp=sharing"",""แม่ฮ่องสอน!J135"")"),0)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IFERROR(__xludf.DUMMYFUNCTION("IMPORTRANGE(""https://docs.google.com/spreadsheets/d/11923uPwbBZFjjGgGUA6NLw09EwE0CqkOc4q9oUmW1yo/edit?usp=sharing"",""แม่ฮ่องสอน!J136"")"),0)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IFERROR(__xludf.DUMMYFUNCTION("IMPORTRANGE(""https://docs.google.com/spreadsheets/d/11923uPwbBZFjjGgGUA6NLw09EwE0CqkOc4q9oUmW1yo/edit?usp=sharing"",""แม่ฮ่องสอน!J137"")"),0)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IFERROR(__xludf.DUMMYFUNCTION("IMPORTRANGE(""https://docs.google.com/spreadsheets/d/11923uPwbBZFjjGgGUA6NLw09EwE0CqkOc4q9oUmW1yo/edit?usp=sharing"",""แม่ฮ่องสอน!I138"")"),0)</f>
        <v>0</v>
      </c>
      <c r="J213" s="213">
        <f ca="1">IFERROR(__xludf.DUMMYFUNCTION("IMPORTRANGE(""https://docs.google.com/spreadsheets/d/11923uPwbBZFjjGgGUA6NLw09EwE0CqkOc4q9oUmW1yo/edit?usp=sharing"",""แม่ฮ่องสอน!J138"")"),0)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IFERROR(__xludf.DUMMYFUNCTION("IMPORTRANGE(""https://docs.google.com/spreadsheets/d/11923uPwbBZFjjGgGUA6NLw09EwE0CqkOc4q9oUmW1yo/edit?usp=sharing"",""แม่ฮ่องสอน!I140"")"),0)</f>
        <v>0</v>
      </c>
      <c r="J215" s="213">
        <f ca="1">IFERROR(__xludf.DUMMYFUNCTION("IMPORTRANGE(""https://docs.google.com/spreadsheets/d/11923uPwbBZFjjGgGUA6NLw09EwE0CqkOc4q9oUmW1yo/edit?usp=sharing"",""แม่ฮ่องสอน!J140"")"),0)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IFERROR(__xludf.DUMMYFUNCTION("IMPORTRANGE(""https://docs.google.com/spreadsheets/d/11923uPwbBZFjjGgGUA6NLw09EwE0CqkOc4q9oUmW1yo/edit?usp=sharing"",""แม่ฮ่องสอน!I141"")"),0)</f>
        <v>0</v>
      </c>
      <c r="J216" s="213">
        <f ca="1">IFERROR(__xludf.DUMMYFUNCTION("IMPORTRANGE(""https://docs.google.com/spreadsheets/d/11923uPwbBZFjjGgGUA6NLw09EwE0CqkOc4q9oUmW1yo/edit?usp=sharing"",""แม่ฮ่องสอน!J141"")"),0)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IFERROR(__xludf.DUMMYFUNCTION("IMPORTRANGE(""https://docs.google.com/spreadsheets/d/11923uPwbBZFjjGgGUA6NLw09EwE0CqkOc4q9oUmW1yo/edit?usp=sharing"",""แม่ฮ่องสอน!J142"")"),0)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IFERROR(__xludf.DUMMYFUNCTION("IMPORTRANGE(""https://docs.google.com/spreadsheets/d/11923uPwbBZFjjGgGUA6NLw09EwE0CqkOc4q9oUmW1yo/edit?usp=sharing"",""แม่ฮ่องสอน!J143"")"),0)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IFERROR(__xludf.DUMMYFUNCTION("IMPORTRANGE(""https://docs.google.com/spreadsheets/d/11923uPwbBZFjjGgGUA6NLw09EwE0CqkOc4q9oUmW1yo/edit?usp=sharing"",""แม่ฮ่องสอน!I144"")"),13)</f>
        <v>13</v>
      </c>
      <c r="J219" s="276">
        <f ca="1">IFERROR(__xludf.DUMMYFUNCTION("IMPORTRANGE(""https://docs.google.com/spreadsheets/d/11923uPwbBZFjjGgGUA6NLw09EwE0CqkOc4q9oUmW1yo/edit?usp=sharing"",""แม่ฮ่องสอน!J144"")"),13)</f>
        <v>13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19295</v>
      </c>
      <c r="M220" s="158">
        <f t="shared" ca="1" si="72"/>
        <v>19295</v>
      </c>
      <c r="N220" s="158">
        <f t="shared" ca="1" si="72"/>
        <v>19295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19295</v>
      </c>
      <c r="M222" s="163">
        <f t="shared" ca="1" si="76"/>
        <v>19295</v>
      </c>
      <c r="N222" s="163">
        <f t="shared" ca="1" si="76"/>
        <v>19295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19295</v>
      </c>
      <c r="M224" s="176">
        <f ca="1">IFERROR(__xludf.DUMMYFUNCTION("IMPORTRANGE(""https://docs.google.com/spreadsheets/d/1Yj_ptqi66GCucihVvJfMjLAmec39IyEx_6qawtMGysU/edit?usp=sharing"",""สบก!BS31"")"),19295)</f>
        <v>19295</v>
      </c>
      <c r="N224" s="177">
        <f ca="1">IFERROR(__xludf.DUMMYFUNCTION("IMPORTRANGE(""https://docs.google.com/spreadsheets/d/1Yj_ptqi66GCucihVvJfMjLAmec39IyEx_6qawtMGysU/edit?usp=sharing"",""สบก!BT31"")"),19295)</f>
        <v>19295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IFERROR(__xludf.DUMMYFUNCTION("IMPORTRANGE(""https://docs.google.com/spreadsheets/d/1Yj_ptqi66GCucihVvJfMjLAmec39IyEx_6qawtMGysU/edit?usp=sharing"",""สบก!BO31"")"),0)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IFERROR(__xludf.DUMMYFUNCTION("IMPORTRANGE(""https://docs.google.com/spreadsheets/d/1Yj_ptqi66GCucihVvJfMjLAmec39IyEx_6qawtMGysU/edit?usp=sharing"",""สบก!BP31"")"),19295)</f>
        <v>19295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IFERROR(__xludf.DUMMYFUNCTION("IMPORTRANGE(""https://docs.google.com/spreadsheets/d/1Yj_ptqi66GCucihVvJfMjLAmec39IyEx_6qawtMGysU/edit?usp=sharing"",""สบก!BQ31"")"),0)</f>
        <v>0</v>
      </c>
      <c r="M228" s="103"/>
      <c r="N228" s="93">
        <f ca="1">IFERROR(__xludf.DUMMYFUNCTION("IMPORTRANGE(""https://docs.google.com/spreadsheets/d/1Yj_ptqi66GCucihVvJfMjLAmec39IyEx_6qawtMGysU/edit?usp=sharing"",""สบก!BU31"")"),0)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IFERROR(__xludf.DUMMYFUNCTION("IMPORTRANGE(""https://docs.google.com/spreadsheets/d/11923uPwbBZFjjGgGUA6NLw09EwE0CqkOc4q9oUmW1yo/edit?usp=sharing"",""แม่ฮ่องสอน!I149"")"),13)</f>
        <v>13</v>
      </c>
      <c r="J229" s="276">
        <f ca="1">IFERROR(__xludf.DUMMYFUNCTION("IMPORTRANGE(""https://docs.google.com/spreadsheets/d/11923uPwbBZFjjGgGUA6NLw09EwE0CqkOc4q9oUmW1yo/edit?usp=sharing"",""แม่ฮ่องสอน!J149"")"),13)</f>
        <v>13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IFERROR(__xludf.DUMMYFUNCTION("IMPORTRANGE(""https://docs.google.com/spreadsheets/d/11923uPwbBZFjjGgGUA6NLw09EwE0CqkOc4q9oUmW1yo/edit?usp=sharing"",""แม่ฮ่องสอน!J151"")"),0)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IFERROR(__xludf.DUMMYFUNCTION("IMPORTRANGE(""https://docs.google.com/spreadsheets/d/11923uPwbBZFjjGgGUA6NLw09EwE0CqkOc4q9oUmW1yo/edit?usp=sharing"",""แม่ฮ่องสอน!J152"")"),0)</f>
        <v>0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IFERROR(__xludf.DUMMYFUNCTION("IMPORTRANGE(""https://docs.google.com/spreadsheets/d/11923uPwbBZFjjGgGUA6NLw09EwE0CqkOc4q9oUmW1yo/edit?usp=sharing"",""แม่ฮ่องสอน!J153"")"),1)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IFERROR(__xludf.DUMMYFUNCTION("IMPORTRANGE(""https://docs.google.com/spreadsheets/d/11923uPwbBZFjjGgGUA6NLw09EwE0CqkOc4q9oUmW1yo/edit?usp=sharing"",""แม่ฮ่องสอน!J154"")"),1)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IFERROR(__xludf.DUMMYFUNCTION("IMPORTRANGE(""https://docs.google.com/spreadsheets/d/11923uPwbBZFjjGgGUA6NLw09EwE0CqkOc4q9oUmW1yo/edit?usp=sharing"",""แม่ฮ่องสอน!I155"")"),13)</f>
        <v>13</v>
      </c>
      <c r="J235" s="198">
        <f ca="1">IFERROR(__xludf.DUMMYFUNCTION("IMPORTRANGE(""https://docs.google.com/spreadsheets/d/11923uPwbBZFjjGgGUA6NLw09EwE0CqkOc4q9oUmW1yo/edit?usp=sharing"",""แม่ฮ่องสอน!J155"")"),13)</f>
        <v>13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IFERROR(__xludf.DUMMYFUNCTION("IMPORTRANGE(""https://docs.google.com/spreadsheets/d/11923uPwbBZFjjGgGUA6NLw09EwE0CqkOc4q9oUmW1yo/edit?usp=sharing"",""แม่ฮ่องสอน!J156"")"),1)</f>
        <v>1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IFERROR(__xludf.DUMMYFUNCTION("IMPORTRANGE(""https://docs.google.com/spreadsheets/d/11923uPwbBZFjjGgGUA6NLw09EwE0CqkOc4q9oUmW1yo/edit?usp=sharing"",""แม่ฮ่องสอน!J157"")"),1)</f>
        <v>1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IFERROR(__xludf.DUMMYFUNCTION("IMPORTRANGE(""https://docs.google.com/spreadsheets/d/11923uPwbBZFjjGgGUA6NLw09EwE0CqkOc4q9oUmW1yo/edit?usp=sharing"",""แม่ฮ่องสอน!I158"")"),0)</f>
        <v>0</v>
      </c>
      <c r="J238" s="276">
        <f ca="1">IFERROR(__xludf.DUMMYFUNCTION("IMPORTRANGE(""https://docs.google.com/spreadsheets/d/11923uPwbBZFjjGgGUA6NLw09EwE0CqkOc4q9oUmW1yo/edit?usp=sharing"",""แม่ฮ่องสอน!J158"")"),0)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IFERROR(__xludf.DUMMYFUNCTION("IMPORTRANGE(""https://docs.google.com/spreadsheets/d/11923uPwbBZFjjGgGUA6NLw09EwE0CqkOc4q9oUmW1yo/edit?usp=sharing"",""แม่ฮ่องสอน!J159"")"),"")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IFERROR(__xludf.DUMMYFUNCTION("IMPORTRANGE(""https://docs.google.com/spreadsheets/d/11923uPwbBZFjjGgGUA6NLw09EwE0CqkOc4q9oUmW1yo/edit?usp=sharing"",""แม่ฮ่องสอน!J161"")"),0)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IFERROR(__xludf.DUMMYFUNCTION("IMPORTRANGE(""https://docs.google.com/spreadsheets/d/11923uPwbBZFjjGgGUA6NLw09EwE0CqkOc4q9oUmW1yo/edit?usp=sharing"",""แม่ฮ่องสอน!J162"")"),0)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IFERROR(__xludf.DUMMYFUNCTION("IMPORTRANGE(""https://docs.google.com/spreadsheets/d/11923uPwbBZFjjGgGUA6NLw09EwE0CqkOc4q9oUmW1yo/edit?usp=sharing"",""แม่ฮ่องสอน!J163"")"),0)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IFERROR(__xludf.DUMMYFUNCTION("IMPORTRANGE(""https://docs.google.com/spreadsheets/d/11923uPwbBZFjjGgGUA6NLw09EwE0CqkOc4q9oUmW1yo/edit?usp=sharing"",""แม่ฮ่องสอน!I164"")"),0)</f>
        <v>0</v>
      </c>
      <c r="J244" s="197">
        <f ca="1">IFERROR(__xludf.DUMMYFUNCTION("IMPORTRANGE(""https://docs.google.com/spreadsheets/d/11923uPwbBZFjjGgGUA6NLw09EwE0CqkOc4q9oUmW1yo/edit?usp=sharing"",""แม่ฮ่องสอน!J164"")"),0)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IFERROR(__xludf.DUMMYFUNCTION("IMPORTRANGE(""https://docs.google.com/spreadsheets/d/11923uPwbBZFjjGgGUA6NLw09EwE0CqkOc4q9oUmW1yo/edit?usp=sharing"",""แม่ฮ่องสอน!J165"")"),0)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IFERROR(__xludf.DUMMYFUNCTION("IMPORTRANGE(""https://docs.google.com/spreadsheets/d/11923uPwbBZFjjGgGUA6NLw09EwE0CqkOc4q9oUmW1yo/edit?usp=sharing"",""แม่ฮ่องสอน!J166"")"),0)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IFERROR(__xludf.DUMMYFUNCTION("IMPORTRANGE(""https://docs.google.com/spreadsheets/d/11923uPwbBZFjjGgGUA6NLw09EwE0CqkOc4q9oUmW1yo/edit?usp=sharing"",""แม่ฮ่องสอน!I169"")"),0)</f>
        <v>0</v>
      </c>
      <c r="J249" s="324">
        <f ca="1">IFERROR(__xludf.DUMMYFUNCTION("IMPORTRANGE(""https://docs.google.com/spreadsheets/d/11923uPwbBZFjjGgGUA6NLw09EwE0CqkOc4q9oUmW1yo/edit?usp=sharing"",""แม่ฮ่องสอน!J169"")"),0)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IFERROR(__xludf.DUMMYFUNCTION("IMPORTRANGE(""https://docs.google.com/spreadsheets/d/1Yj_ptqi66GCucihVvJfMjLAmec39IyEx_6qawtMGysU/edit?usp=sharing"",""สบก!CB31"")"),0)</f>
        <v>0</v>
      </c>
      <c r="N254" s="177">
        <f ca="1">IFERROR(__xludf.DUMMYFUNCTION("IMPORTRANGE(""https://docs.google.com/spreadsheets/d/1Yj_ptqi66GCucihVvJfMjLAmec39IyEx_6qawtMGysU/edit?usp=sharing"",""สบก!CC31"")"),0)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IFERROR(__xludf.DUMMYFUNCTION("IMPORTRANGE(""https://docs.google.com/spreadsheets/d/1Yj_ptqi66GCucihVvJfMjLAmec39IyEx_6qawtMGysU/edit?usp=sharing"",""สบก!BX31"")"),0)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IFERROR(__xludf.DUMMYFUNCTION("IMPORTRANGE(""https://docs.google.com/spreadsheets/d/1Yj_ptqi66GCucihVvJfMjLAmec39IyEx_6qawtMGysU/edit?usp=sharing"",""สบก!BY31"")"),0)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IFERROR(__xludf.DUMMYFUNCTION("IMPORTRANGE(""https://docs.google.com/spreadsheets/d/1Yj_ptqi66GCucihVvJfMjLAmec39IyEx_6qawtMGysU/edit?usp=sharing"",""สบก!BZ31"")"),0)</f>
        <v>0</v>
      </c>
      <c r="M258" s="103"/>
      <c r="N258" s="93">
        <f ca="1">IFERROR(__xludf.DUMMYFUNCTION("IMPORTRANGE(""https://docs.google.com/spreadsheets/d/1Yj_ptqi66GCucihVvJfMjLAmec39IyEx_6qawtMGysU/edit?usp=sharing"",""สบก!CD31"")"),0)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IFERROR(__xludf.DUMMYFUNCTION("IMPORTRANGE(""https://docs.google.com/spreadsheets/d/11923uPwbBZFjjGgGUA6NLw09EwE0CqkOc4q9oUmW1yo/edit?usp=sharing"",""แม่ฮ่องสอน!J175"")"),0)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IFERROR(__xludf.DUMMYFUNCTION("IMPORTRANGE(""https://docs.google.com/spreadsheets/d/11923uPwbBZFjjGgGUA6NLw09EwE0CqkOc4q9oUmW1yo/edit?usp=sharing"",""แม่ฮ่องสอน!J176"")"),0)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IFERROR(__xludf.DUMMYFUNCTION("IMPORTRANGE(""https://docs.google.com/spreadsheets/d/11923uPwbBZFjjGgGUA6NLw09EwE0CqkOc4q9oUmW1yo/edit?usp=sharing"",""แม่ฮ่องสอน!J177"")"),0)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IFERROR(__xludf.DUMMYFUNCTION("IMPORTRANGE(""https://docs.google.com/spreadsheets/d/11923uPwbBZFjjGgGUA6NLw09EwE0CqkOc4q9oUmW1yo/edit?usp=sharing"",""แม่ฮ่องสอน!J178"")"),0)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IFERROR(__xludf.DUMMYFUNCTION("IMPORTRANGE(""https://docs.google.com/spreadsheets/d/11923uPwbBZFjjGgGUA6NLw09EwE0CqkOc4q9oUmW1yo/edit?usp=sharing"",""แม่ฮ่องสอน!I179"")"),0)</f>
        <v>0</v>
      </c>
      <c r="J264" s="198">
        <f ca="1">IFERROR(__xludf.DUMMYFUNCTION("IMPORTRANGE(""https://docs.google.com/spreadsheets/d/11923uPwbBZFjjGgGUA6NLw09EwE0CqkOc4q9oUmW1yo/edit?usp=sharing"",""แม่ฮ่องสอน!J179"")"),0)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IFERROR(__xludf.DUMMYFUNCTION("IMPORTRANGE(""https://docs.google.com/spreadsheets/d/11923uPwbBZFjjGgGUA6NLw09EwE0CqkOc4q9oUmW1yo/edit?usp=sharing"",""แม่ฮ่องสอน!I180"")"),0)</f>
        <v>0</v>
      </c>
      <c r="J265" s="198">
        <f ca="1">IFERROR(__xludf.DUMMYFUNCTION("IMPORTRANGE(""https://docs.google.com/spreadsheets/d/11923uPwbBZFjjGgGUA6NLw09EwE0CqkOc4q9oUmW1yo/edit?usp=sharing"",""แม่ฮ่องสอน!J180"")"),0)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IFERROR(__xludf.DUMMYFUNCTION("IMPORTRANGE(""https://docs.google.com/spreadsheets/d/11923uPwbBZFjjGgGUA6NLw09EwE0CqkOc4q9oUmW1yo/edit?usp=sharing"",""แม่ฮ่องสอน!I181"")"),0)</f>
        <v>0</v>
      </c>
      <c r="J266" s="198">
        <f ca="1">IFERROR(__xludf.DUMMYFUNCTION("IMPORTRANGE(""https://docs.google.com/spreadsheets/d/11923uPwbBZFjjGgGUA6NLw09EwE0CqkOc4q9oUmW1yo/edit?usp=sharing"",""แม่ฮ่องสอน!J181"")"),0)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IFERROR(__xludf.DUMMYFUNCTION("IMPORTRANGE(""https://docs.google.com/spreadsheets/d/11923uPwbBZFjjGgGUA6NLw09EwE0CqkOc4q9oUmW1yo/edit?usp=sharing"",""แม่ฮ่องสอน!I182"")"),0)</f>
        <v>0</v>
      </c>
      <c r="J267" s="198">
        <f ca="1">IFERROR(__xludf.DUMMYFUNCTION("IMPORTRANGE(""https://docs.google.com/spreadsheets/d/11923uPwbBZFjjGgGUA6NLw09EwE0CqkOc4q9oUmW1yo/edit?usp=sharing"",""แม่ฮ่องสอน!J182"")"),0)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IFERROR(__xludf.DUMMYFUNCTION("IMPORTRANGE(""https://docs.google.com/spreadsheets/d/11923uPwbBZFjjGgGUA6NLw09EwE0CqkOc4q9oUmW1yo/edit?usp=sharing"",""แม่ฮ่องสอน!J183"")"),0)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IFERROR(__xludf.DUMMYFUNCTION("IMPORTRANGE(""https://docs.google.com/spreadsheets/d/11923uPwbBZFjjGgGUA6NLw09EwE0CqkOc4q9oUmW1yo/edit?usp=sharing"",""แม่ฮ่องสอน!J184"")"),0)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IFERROR(__xludf.DUMMYFUNCTION("IMPORTRANGE(""https://docs.google.com/spreadsheets/d/11923uPwbBZFjjGgGUA6NLw09EwE0CqkOc4q9oUmW1yo/edit?usp=sharing"",""แม่ฮ่องสอน!I185"")"),15)</f>
        <v>15</v>
      </c>
      <c r="J270" s="324">
        <f ca="1">IFERROR(__xludf.DUMMYFUNCTION("IMPORTRANGE(""https://docs.google.com/spreadsheets/d/11923uPwbBZFjjGgGUA6NLw09EwE0CqkOc4q9oUmW1yo/edit?usp=sharing"",""แม่ฮ่องสอน!J185"")"),15)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187200</v>
      </c>
      <c r="M271" s="158">
        <f t="shared" ca="1" si="83"/>
        <v>98250</v>
      </c>
      <c r="N271" s="158">
        <f t="shared" ca="1" si="83"/>
        <v>71128</v>
      </c>
      <c r="O271" s="157">
        <f t="shared" ref="O271:O273" ca="1" si="84">IF(L271&gt;0,N271*100/L271,0)</f>
        <v>37.995726495726494</v>
      </c>
      <c r="P271" s="157">
        <f t="shared" ref="P271:P273" ca="1" si="85">IF(M271&gt;0,N271*100/M271,0)</f>
        <v>72.394910941475828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187200</v>
      </c>
      <c r="M273" s="163">
        <f t="shared" ca="1" si="87"/>
        <v>98250</v>
      </c>
      <c r="N273" s="163">
        <f t="shared" ca="1" si="87"/>
        <v>71128</v>
      </c>
      <c r="O273" s="162">
        <f t="shared" ca="1" si="84"/>
        <v>37.995726495726494</v>
      </c>
      <c r="P273" s="162">
        <f t="shared" ca="1" si="85"/>
        <v>72.394910941475828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187200</v>
      </c>
      <c r="M275" s="176">
        <f ca="1">IFERROR(__xludf.DUMMYFUNCTION("IMPORTRANGE(""https://docs.google.com/spreadsheets/d/1Yj_ptqi66GCucihVvJfMjLAmec39IyEx_6qawtMGysU/edit?usp=sharing"",""สบก!CK31"")"),98250)</f>
        <v>98250</v>
      </c>
      <c r="N275" s="177">
        <f ca="1">IFERROR(__xludf.DUMMYFUNCTION("IMPORTRANGE(""https://docs.google.com/spreadsheets/d/1Yj_ptqi66GCucihVvJfMjLAmec39IyEx_6qawtMGysU/edit?usp=sharing"",""สบก!CL31"")"),71128)</f>
        <v>71128</v>
      </c>
      <c r="O275" s="178">
        <f ca="1">IF(L275&gt;0,N275*100/L275,0)</f>
        <v>37.995726495726494</v>
      </c>
      <c r="P275" s="178">
        <f ca="1">IF(M275&gt;0,N275*100/M275,0)</f>
        <v>72.394910941475828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IFERROR(__xludf.DUMMYFUNCTION("IMPORTRANGE(""https://docs.google.com/spreadsheets/d/1Yj_ptqi66GCucihVvJfMjLAmec39IyEx_6qawtMGysU/edit?usp=sharing"",""สบก!CG31"")"),132000)</f>
        <v>132000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IFERROR(__xludf.DUMMYFUNCTION("IMPORTRANGE(""https://docs.google.com/spreadsheets/d/1Yj_ptqi66GCucihVvJfMjLAmec39IyEx_6qawtMGysU/edit?usp=sharing"",""สบก!CH31"")"),55200)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IFERROR(__xludf.DUMMYFUNCTION("IMPORTRANGE(""https://docs.google.com/spreadsheets/d/1Yj_ptqi66GCucihVvJfMjLAmec39IyEx_6qawtMGysU/edit?usp=sharing"",""สบก!CI31"")"),0)</f>
        <v>0</v>
      </c>
      <c r="M279" s="103"/>
      <c r="N279" s="93">
        <f ca="1">IFERROR(__xludf.DUMMYFUNCTION("IMPORTRANGE(""https://docs.google.com/spreadsheets/d/1Yj_ptqi66GCucihVvJfMjLAmec39IyEx_6qawtMGysU/edit?usp=sharing"",""สบก!CM31"")"),0)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IFERROR(__xludf.DUMMYFUNCTION("IMPORTRANGE(""https://docs.google.com/spreadsheets/d/11923uPwbBZFjjGgGUA6NLw09EwE0CqkOc4q9oUmW1yo/edit?usp=sharing"",""แม่ฮ่องสอน!J191"")"),0)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IFERROR(__xludf.DUMMYFUNCTION("IMPORTRANGE(""https://docs.google.com/spreadsheets/d/11923uPwbBZFjjGgGUA6NLw09EwE0CqkOc4q9oUmW1yo/edit?usp=sharing"",""แม่ฮ่องสอน!J192"")"),1)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IFERROR(__xludf.DUMMYFUNCTION("IMPORTRANGE(""https://docs.google.com/spreadsheets/d/11923uPwbBZFjjGgGUA6NLw09EwE0CqkOc4q9oUmW1yo/edit?usp=sharing"",""แม่ฮ่องสอน!J193"")"),1)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IFERROR(__xludf.DUMMYFUNCTION("IMPORTRANGE(""https://docs.google.com/spreadsheets/d/11923uPwbBZFjjGgGUA6NLw09EwE0CqkOc4q9oUmW1yo/edit?usp=sharing"",""แม่ฮ่องสอน!J194"")"),1)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IFERROR(__xludf.DUMMYFUNCTION("IMPORTRANGE(""https://docs.google.com/spreadsheets/d/11923uPwbBZFjjGgGUA6NLw09EwE0CqkOc4q9oUmW1yo/edit?usp=sharing"",""แม่ฮ่องสอน!I195"")"),15)</f>
        <v>15</v>
      </c>
      <c r="J285" s="198">
        <f ca="1">IFERROR(__xludf.DUMMYFUNCTION("IMPORTRANGE(""https://docs.google.com/spreadsheets/d/11923uPwbBZFjjGgGUA6NLw09EwE0CqkOc4q9oUmW1yo/edit?usp=sharing"",""แม่ฮ่องสอน!J195"")"),15)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IFERROR(__xludf.DUMMYFUNCTION("IMPORTRANGE(""https://docs.google.com/spreadsheets/d/11923uPwbBZFjjGgGUA6NLw09EwE0CqkOc4q9oUmW1yo/edit?usp=sharing"",""แม่ฮ่องสอน!J196"")"),0)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IFERROR(__xludf.DUMMYFUNCTION("IMPORTRANGE(""https://docs.google.com/spreadsheets/d/11923uPwbBZFjjGgGUA6NLw09EwE0CqkOc4q9oUmW1yo/edit?usp=sharing"",""แม่ฮ่องสอน!J197"")"),0)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IFERROR(__xludf.DUMMYFUNCTION("IMPORTRANGE(""https://docs.google.com/spreadsheets/d/11923uPwbBZFjjGgGUA6NLw09EwE0CqkOc4q9oUmW1yo/edit?usp=sharing"",""แม่ฮ่องสอน!I199"")"),0)</f>
        <v>0</v>
      </c>
      <c r="J289" s="324">
        <f ca="1">IFERROR(__xludf.DUMMYFUNCTION("IMPORTRANGE(""https://docs.google.com/spreadsheets/d/11923uPwbBZFjjGgGUA6NLw09EwE0CqkOc4q9oUmW1yo/edit?usp=sharing"",""แม่ฮ่องสอน!J199"")"),0)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IFERROR(__xludf.DUMMYFUNCTION("IMPORTRANGE(""https://docs.google.com/spreadsheets/d/1Yj_ptqi66GCucihVvJfMjLAmec39IyEx_6qawtMGysU/edit?usp=sharing"",""สบก!CT31"")"),0)</f>
        <v>0</v>
      </c>
      <c r="N294" s="177">
        <f ca="1">IFERROR(__xludf.DUMMYFUNCTION("IMPORTRANGE(""https://docs.google.com/spreadsheets/d/1Yj_ptqi66GCucihVvJfMjLAmec39IyEx_6qawtMGysU/edit?usp=sharing"",""สบก!CU31"")"),0)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IFERROR(__xludf.DUMMYFUNCTION("IMPORTRANGE(""https://docs.google.com/spreadsheets/d/1Yj_ptqi66GCucihVvJfMjLAmec39IyEx_6qawtMGysU/edit?usp=sharing"",""สบก!CP31"")"),0)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IFERROR(__xludf.DUMMYFUNCTION("IMPORTRANGE(""https://docs.google.com/spreadsheets/d/1Yj_ptqi66GCucihVvJfMjLAmec39IyEx_6qawtMGysU/edit?usp=sharing"",""สบก!CQ31"")"),0)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IFERROR(__xludf.DUMMYFUNCTION("IMPORTRANGE(""https://docs.google.com/spreadsheets/d/1Yj_ptqi66GCucihVvJfMjLAmec39IyEx_6qawtMGysU/edit?usp=sharing"",""สบก!CR31"")"),0)</f>
        <v>0</v>
      </c>
      <c r="M298" s="103"/>
      <c r="N298" s="93">
        <f ca="1">IFERROR(__xludf.DUMMYFUNCTION("IMPORTRANGE(""https://docs.google.com/spreadsheets/d/1Yj_ptqi66GCucihVvJfMjLAmec39IyEx_6qawtMGysU/edit?usp=sharing"",""สบก!CV31"")"),0)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IFERROR(__xludf.DUMMYFUNCTION("IMPORTRANGE(""https://docs.google.com/spreadsheets/d/11923uPwbBZFjjGgGUA6NLw09EwE0CqkOc4q9oUmW1yo/edit?usp=sharing"",""แม่ฮ่องสอน!J205"")"),0)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IFERROR(__xludf.DUMMYFUNCTION("IMPORTRANGE(""https://docs.google.com/spreadsheets/d/11923uPwbBZFjjGgGUA6NLw09EwE0CqkOc4q9oUmW1yo/edit?usp=sharing"",""แม่ฮ่องสอน!J206"")"),0)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IFERROR(__xludf.DUMMYFUNCTION("IMPORTRANGE(""https://docs.google.com/spreadsheets/d/11923uPwbBZFjjGgGUA6NLw09EwE0CqkOc4q9oUmW1yo/edit?usp=sharing"",""แม่ฮ่องสอน!J207"")"),0)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IFERROR(__xludf.DUMMYFUNCTION("IMPORTRANGE(""https://docs.google.com/spreadsheets/d/11923uPwbBZFjjGgGUA6NLw09EwE0CqkOc4q9oUmW1yo/edit?usp=sharing"",""แม่ฮ่องสอน!J208"")"),0)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IFERROR(__xludf.DUMMYFUNCTION("IMPORTRANGE(""https://docs.google.com/spreadsheets/d/11923uPwbBZFjjGgGUA6NLw09EwE0CqkOc4q9oUmW1yo/edit?usp=sharing"",""แม่ฮ่องสอน!I209"")"),0)</f>
        <v>0</v>
      </c>
      <c r="J304" s="213">
        <f ca="1">IFERROR(__xludf.DUMMYFUNCTION("IMPORTRANGE(""https://docs.google.com/spreadsheets/d/11923uPwbBZFjjGgGUA6NLw09EwE0CqkOc4q9oUmW1yo/edit?usp=sharing"",""แม่ฮ่องสอน!J209"")"),0)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IFERROR(__xludf.DUMMYFUNCTION("IMPORTRANGE(""https://docs.google.com/spreadsheets/d/11923uPwbBZFjjGgGUA6NLw09EwE0CqkOc4q9oUmW1yo/edit?usp=sharing"",""แม่ฮ่องสอน!I211"")"),0)</f>
        <v>0</v>
      </c>
      <c r="J306" s="213">
        <f ca="1">IFERROR(__xludf.DUMMYFUNCTION("IMPORTRANGE(""https://docs.google.com/spreadsheets/d/11923uPwbBZFjjGgGUA6NLw09EwE0CqkOc4q9oUmW1yo/edit?usp=sharing"",""แม่ฮ่องสอน!J211"")"),0)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IFERROR(__xludf.DUMMYFUNCTION("IMPORTRANGE(""https://docs.google.com/spreadsheets/d/11923uPwbBZFjjGgGUA6NLw09EwE0CqkOc4q9oUmW1yo/edit?usp=sharing"",""แม่ฮ่องสอน!J212"")"),0)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IFERROR(__xludf.DUMMYFUNCTION("IMPORTRANGE(""https://docs.google.com/spreadsheets/d/11923uPwbBZFjjGgGUA6NLw09EwE0CqkOc4q9oUmW1yo/edit?usp=sharing"",""แม่ฮ่องสอน!J213"")"),0)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IFERROR(__xludf.DUMMYFUNCTION("IMPORTRANGE(""https://docs.google.com/spreadsheets/d/11923uPwbBZFjjGgGUA6NLw09EwE0CqkOc4q9oUmW1yo/edit?usp=sharing"",""แม่ฮ่องสอน!I214"")"),0)</f>
        <v>0</v>
      </c>
      <c r="J309" s="341">
        <f ca="1">IFERROR(__xludf.DUMMYFUNCTION("IMPORTRANGE(""https://docs.google.com/spreadsheets/d/11923uPwbBZFjjGgGUA6NLw09EwE0CqkOc4q9oUmW1yo/edit?usp=sharing"",""แม่ฮ่องสอน!J214"")"),0)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IFERROR(__xludf.DUMMYFUNCTION("IMPORTRANGE(""https://docs.google.com/spreadsheets/d/1Yj_ptqi66GCucihVvJfMjLAmec39IyEx_6qawtMGysU/edit?usp=sharing"",""สบก!DC31"")"),0)</f>
        <v>0</v>
      </c>
      <c r="N314" s="177">
        <f ca="1">IFERROR(__xludf.DUMMYFUNCTION("IMPORTRANGE(""https://docs.google.com/spreadsheets/d/1Yj_ptqi66GCucihVvJfMjLAmec39IyEx_6qawtMGysU/edit?usp=sharing"",""สบก!DD31"")"),0)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IFERROR(__xludf.DUMMYFUNCTION("IMPORTRANGE(""https://docs.google.com/spreadsheets/d/1Yj_ptqi66GCucihVvJfMjLAmec39IyEx_6qawtMGysU/edit?usp=sharing"",""สบก!CY31"")"),0)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IFERROR(__xludf.DUMMYFUNCTION("IMPORTRANGE(""https://docs.google.com/spreadsheets/d/1Yj_ptqi66GCucihVvJfMjLAmec39IyEx_6qawtMGysU/edit?usp=sharing"",""สบก!CZ31"")"),0)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IFERROR(__xludf.DUMMYFUNCTION("IMPORTRANGE(""https://docs.google.com/spreadsheets/d/1Yj_ptqi66GCucihVvJfMjLAmec39IyEx_6qawtMGysU/edit?usp=sharing"",""สบก!DA31"")"),0)</f>
        <v>0</v>
      </c>
      <c r="M318" s="103"/>
      <c r="N318" s="93">
        <f ca="1">IFERROR(__xludf.DUMMYFUNCTION("IMPORTRANGE(""https://docs.google.com/spreadsheets/d/1Yj_ptqi66GCucihVvJfMjLAmec39IyEx_6qawtMGysU/edit?usp=sharing"",""สบก!DE31"")"),0)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IFERROR(__xludf.DUMMYFUNCTION("IMPORTRANGE(""https://docs.google.com/spreadsheets/d/11923uPwbBZFjjGgGUA6NLw09EwE0CqkOc4q9oUmW1yo/edit?usp=sharing"",""แม่ฮ่องสอน!J220"")"),0)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IFERROR(__xludf.DUMMYFUNCTION("IMPORTRANGE(""https://docs.google.com/spreadsheets/d/11923uPwbBZFjjGgGUA6NLw09EwE0CqkOc4q9oUmW1yo/edit?usp=sharing"",""แม่ฮ่องสอน!J221"")"),0)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IFERROR(__xludf.DUMMYFUNCTION("IMPORTRANGE(""https://docs.google.com/spreadsheets/d/11923uPwbBZFjjGgGUA6NLw09EwE0CqkOc4q9oUmW1yo/edit?usp=sharing"",""แม่ฮ่องสอน!J222"")"),0)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IFERROR(__xludf.DUMMYFUNCTION("IMPORTRANGE(""https://docs.google.com/spreadsheets/d/11923uPwbBZFjjGgGUA6NLw09EwE0CqkOc4q9oUmW1yo/edit?usp=sharing"",""แม่ฮ่องสอน!J223"")"),0)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IFERROR(__xludf.DUMMYFUNCTION("IMPORTRANGE(""https://docs.google.com/spreadsheets/d/11923uPwbBZFjjGgGUA6NLw09EwE0CqkOc4q9oUmW1yo/edit?usp=sharing"",""แม่ฮ่องสอน!I224"")"),0)</f>
        <v>0</v>
      </c>
      <c r="J324" s="213">
        <f ca="1">IFERROR(__xludf.DUMMYFUNCTION("IMPORTRANGE(""https://docs.google.com/spreadsheets/d/11923uPwbBZFjjGgGUA6NLw09EwE0CqkOc4q9oUmW1yo/edit?usp=sharing"",""แม่ฮ่องสอน!J224"")"),0)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IFERROR(__xludf.DUMMYFUNCTION("IMPORTRANGE(""https://docs.google.com/spreadsheets/d/11923uPwbBZFjjGgGUA6NLw09EwE0CqkOc4q9oUmW1yo/edit?usp=sharing"",""แม่ฮ่องสอน!J225"")"),0)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IFERROR(__xludf.DUMMYFUNCTION("IMPORTRANGE(""https://docs.google.com/spreadsheets/d/11923uPwbBZFjjGgGUA6NLw09EwE0CqkOc4q9oUmW1yo/edit?usp=sharing"",""แม่ฮ่องสอน!J226"")"),0)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IFERROR(__xludf.DUMMYFUNCTION("IMPORTRANGE(""https://docs.google.com/spreadsheets/d/11923uPwbBZFjjGgGUA6NLw09EwE0CqkOc4q9oUmW1yo/edit?usp=sharing"",""แม่ฮ่องสอน!I228"")"),70)</f>
        <v>70</v>
      </c>
      <c r="J328" s="347">
        <f ca="1">IFERROR(__xludf.DUMMYFUNCTION("IMPORTRANGE(""https://docs.google.com/spreadsheets/d/11923uPwbBZFjjGgGUA6NLw09EwE0CqkOc4q9oUmW1yo/edit?usp=sharing"",""แม่ฮ่องสอน!J228"")"),25)</f>
        <v>25</v>
      </c>
      <c r="K328" s="325">
        <f ca="1">IF(I328&gt;0,J328*100/I328,0)</f>
        <v>35.714285714285715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873740</v>
      </c>
      <c r="M329" s="158">
        <f t="shared" ca="1" si="98"/>
        <v>417320</v>
      </c>
      <c r="N329" s="158">
        <f t="shared" ca="1" si="98"/>
        <v>368315</v>
      </c>
      <c r="O329" s="157">
        <f t="shared" ref="O329:O331" ca="1" si="99">IF(L329&gt;0,N329*100/L329,0)</f>
        <v>42.153844393068873</v>
      </c>
      <c r="P329" s="157">
        <f t="shared" ref="P329:P331" ca="1" si="100">IF(M329&gt;0,N329*100/M329,0)</f>
        <v>88.257212690501291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873740</v>
      </c>
      <c r="M331" s="163">
        <f t="shared" ca="1" si="102"/>
        <v>417320</v>
      </c>
      <c r="N331" s="163">
        <f t="shared" ca="1" si="102"/>
        <v>368315</v>
      </c>
      <c r="O331" s="162">
        <f t="shared" ca="1" si="99"/>
        <v>42.153844393068873</v>
      </c>
      <c r="P331" s="162">
        <f t="shared" ca="1" si="100"/>
        <v>88.257212690501291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825940</v>
      </c>
      <c r="M333" s="176">
        <f ca="1">IFERROR(__xludf.DUMMYFUNCTION("IMPORTRANGE(""https://docs.google.com/spreadsheets/d/1Yj_ptqi66GCucihVvJfMjLAmec39IyEx_6qawtMGysU/edit?usp=sharing"",""สบก!DL31"")"),417320)</f>
        <v>417320</v>
      </c>
      <c r="N333" s="177">
        <f ca="1">IFERROR(__xludf.DUMMYFUNCTION("IMPORTRANGE(""https://docs.google.com/spreadsheets/d/1Yj_ptqi66GCucihVvJfMjLAmec39IyEx_6qawtMGysU/edit?usp=sharing"",""สบก!DM31"")"),320515)</f>
        <v>320515</v>
      </c>
      <c r="O333" s="178">
        <f ca="1">IF(L333&gt;0,N333*100/L333,0)</f>
        <v>38.80608760926944</v>
      </c>
      <c r="P333" s="178">
        <f ca="1">IF(M333&gt;0,N333*100/M333,0)</f>
        <v>76.803172625323498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IFERROR(__xludf.DUMMYFUNCTION("IMPORTRANGE(""https://docs.google.com/spreadsheets/d/1Yj_ptqi66GCucihVvJfMjLAmec39IyEx_6qawtMGysU/edit?usp=sharing"",""สบก!DH31"")"),574800)</f>
        <v>574800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IFERROR(__xludf.DUMMYFUNCTION("IMPORTRANGE(""https://docs.google.com/spreadsheets/d/1Yj_ptqi66GCucihVvJfMjLAmec39IyEx_6qawtMGysU/edit?usp=sharing"",""สบก!DI31"")"),251140)</f>
        <v>251140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IFERROR(__xludf.DUMMYFUNCTION("IMPORTRANGE(""https://docs.google.com/spreadsheets/d/1Yj_ptqi66GCucihVvJfMjLAmec39IyEx_6qawtMGysU/edit?usp=sharing"",""สบก!DJ31"")"),47800)</f>
        <v>47800</v>
      </c>
      <c r="M337" s="103"/>
      <c r="N337" s="93">
        <f ca="1">IFERROR(__xludf.DUMMYFUNCTION("IMPORTRANGE(""https://docs.google.com/spreadsheets/d/1Yj_ptqi66GCucihVvJfMjLAmec39IyEx_6qawtMGysU/edit?usp=sharing"",""สบก!DN31"")"),47800)</f>
        <v>47800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IFERROR(__xludf.DUMMYFUNCTION("IMPORTRANGE(""https://docs.google.com/spreadsheets/d/11923uPwbBZFjjGgGUA6NLw09EwE0CqkOc4q9oUmW1yo/edit?usp=sharing"",""แม่ฮ่องสอน!I234"")"),0)</f>
        <v>0</v>
      </c>
      <c r="J339" s="197">
        <f ca="1">IFERROR(__xludf.DUMMYFUNCTION("IMPORTRANGE(""https://docs.google.com/spreadsheets/d/11923uPwbBZFjjGgGUA6NLw09EwE0CqkOc4q9oUmW1yo/edit?usp=sharing"",""แม่ฮ่องสอน!J234"")"),30)</f>
        <v>30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IFERROR(__xludf.DUMMYFUNCTION("IMPORTRANGE(""https://docs.google.com/spreadsheets/d/11923uPwbBZFjjGgGUA6NLw09EwE0CqkOc4q9oUmW1yo/edit?usp=sharing"",""แม่ฮ่องสอน!I235"")"),210)</f>
        <v>210</v>
      </c>
      <c r="J340" s="197">
        <f ca="1">IFERROR(__xludf.DUMMYFUNCTION("IMPORTRANGE(""https://docs.google.com/spreadsheets/d/11923uPwbBZFjjGgGUA6NLw09EwE0CqkOc4q9oUmW1yo/edit?usp=sharing"",""แม่ฮ่องสอน!J235"")"),58.8099999999999)</f>
        <v>58.809999999999903</v>
      </c>
      <c r="K340" s="350">
        <f t="shared" ca="1" si="103"/>
        <v>28.004761904761857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IFERROR(__xludf.DUMMYFUNCTION("IMPORTRANGE(""https://docs.google.com/spreadsheets/d/11923uPwbBZFjjGgGUA6NLw09EwE0CqkOc4q9oUmW1yo/edit?usp=sharing"",""แม่ฮ่องสอน!I236"")"),70)</f>
        <v>70</v>
      </c>
      <c r="J341" s="197">
        <f ca="1">IFERROR(__xludf.DUMMYFUNCTION("IMPORTRANGE(""https://docs.google.com/spreadsheets/d/11923uPwbBZFjjGgGUA6NLw09EwE0CqkOc4q9oUmW1yo/edit?usp=sharing"",""แม่ฮ่องสอน!J236"")"),50)</f>
        <v>50</v>
      </c>
      <c r="K341" s="350">
        <f t="shared" ca="1" si="103"/>
        <v>71.428571428571431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IFERROR(__xludf.DUMMYFUNCTION("IMPORTRANGE(""https://docs.google.com/spreadsheets/d/11923uPwbBZFjjGgGUA6NLw09EwE0CqkOc4q9oUmW1yo/edit?usp=sharing"",""แม่ฮ่องสอน!I237"")"),0)</f>
        <v>0</v>
      </c>
      <c r="J342" s="197">
        <f ca="1">IFERROR(__xludf.DUMMYFUNCTION("IMPORTRANGE(""https://docs.google.com/spreadsheets/d/11923uPwbBZFjjGgGUA6NLw09EwE0CqkOc4q9oUmW1yo/edit?usp=sharing"",""แม่ฮ่องสอน!J237"")"),160.47)</f>
        <v>160.47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IFERROR(__xludf.DUMMYFUNCTION("IMPORTRANGE(""https://docs.google.com/spreadsheets/d/11923uPwbBZFjjGgGUA6NLw09EwE0CqkOc4q9oUmW1yo/edit?usp=sharing"",""แม่ฮ่องสอน!I238"")"),70)</f>
        <v>70</v>
      </c>
      <c r="J343" s="197">
        <f ca="1">IFERROR(__xludf.DUMMYFUNCTION("IMPORTRANGE(""https://docs.google.com/spreadsheets/d/11923uPwbBZFjjGgGUA6NLw09EwE0CqkOc4q9oUmW1yo/edit?usp=sharing"",""แม่ฮ่องสอน!J238"")"),1)</f>
        <v>1</v>
      </c>
      <c r="K343" s="350">
        <f t="shared" ca="1" si="103"/>
        <v>1.4285714285714286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IFERROR(__xludf.DUMMYFUNCTION("IMPORTRANGE(""https://docs.google.com/spreadsheets/d/11923uPwbBZFjjGgGUA6NLw09EwE0CqkOc4q9oUmW1yo/edit?usp=sharing"",""แม่ฮ่องสอน!I239"")"),0)</f>
        <v>0</v>
      </c>
      <c r="J344" s="197">
        <f ca="1">IFERROR(__xludf.DUMMYFUNCTION("IMPORTRANGE(""https://docs.google.com/spreadsheets/d/11923uPwbBZFjjGgGUA6NLw09EwE0CqkOc4q9oUmW1yo/edit?usp=sharing"",""แม่ฮ่องสอน!J239"")"),28.14)</f>
        <v>28.14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IFERROR(__xludf.DUMMYFUNCTION("IMPORTRANGE(""https://docs.google.com/spreadsheets/d/11923uPwbBZFjjGgGUA6NLw09EwE0CqkOc4q9oUmW1yo/edit?usp=sharing"",""แม่ฮ่องสอน!I240"")"),70)</f>
        <v>70</v>
      </c>
      <c r="J345" s="197">
        <f ca="1">IFERROR(__xludf.DUMMYFUNCTION("IMPORTRANGE(""https://docs.google.com/spreadsheets/d/11923uPwbBZFjjGgGUA6NLw09EwE0CqkOc4q9oUmW1yo/edit?usp=sharing"",""แม่ฮ่องสอน!J240"")"),25)</f>
        <v>25</v>
      </c>
      <c r="K345" s="350">
        <f t="shared" ca="1" si="103"/>
        <v>35.714285714285715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IFERROR(__xludf.DUMMYFUNCTION("IMPORTRANGE(""https://docs.google.com/spreadsheets/d/11923uPwbBZFjjGgGUA6NLw09EwE0CqkOc4q9oUmW1yo/edit?usp=sharing"",""แม่ฮ่องสอน!I241"")"),0)</f>
        <v>0</v>
      </c>
      <c r="J346" s="197">
        <f ca="1">IFERROR(__xludf.DUMMYFUNCTION("IMPORTRANGE(""https://docs.google.com/spreadsheets/d/11923uPwbBZFjjGgGUA6NLw09EwE0CqkOc4q9oUmW1yo/edit?usp=sharing"",""แม่ฮ่องสอน!J241"")"),103.43)</f>
        <v>103.43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IFERROR(__xludf.DUMMYFUNCTION("IMPORTRANGE(""https://docs.google.com/spreadsheets/d/11923uPwbBZFjjGgGUA6NLw09EwE0CqkOc4q9oUmW1yo/edit?usp=sharing"",""แม่ฮ่องสอน!L242"")"),1077527)</f>
        <v>1077527</v>
      </c>
      <c r="M347" s="366"/>
      <c r="N347" s="366">
        <f ca="1">IFERROR(__xludf.DUMMYFUNCTION("IMPORTRANGE(""https://docs.google.com/spreadsheets/d/11923uPwbBZFjjGgGUA6NLw09EwE0CqkOc4q9oUmW1yo/edit?usp=sharing"",""แม่ฮ่องสอน!M242"")"),386803)</f>
        <v>386803</v>
      </c>
      <c r="O347" s="366">
        <f ca="1">+IF(L347&gt;0,N347*100/L347,0)</f>
        <v>35.897290740742463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IFERROR(__xludf.DUMMYFUNCTION("IMPORTRANGE(""https://docs.google.com/spreadsheets/d/11923uPwbBZFjjGgGUA6NLw09EwE0CqkOc4q9oUmW1yo/edit?usp=sharing"",""แม่ฮ่องสอน!I244"")"),110)</f>
        <v>110</v>
      </c>
      <c r="J349" s="379">
        <f ca="1">IFERROR(__xludf.DUMMYFUNCTION("IMPORTRANGE(""https://docs.google.com/spreadsheets/d/11923uPwbBZFjjGgGUA6NLw09EwE0CqkOc4q9oUmW1yo/edit?usp=sharing"",""แม่ฮ่องสอน!J244"")"),60)</f>
        <v>60</v>
      </c>
      <c r="K349" s="380">
        <f t="shared" ref="K349:K350" ca="1" si="104">IF(I349&gt;0,J349*100/I349,0)</f>
        <v>54.545454545454547</v>
      </c>
      <c r="L349" s="381">
        <f ca="1">IFERROR(__xludf.DUMMYFUNCTION("IMPORTRANGE(""https://docs.google.com/spreadsheets/d/11923uPwbBZFjjGgGUA6NLw09EwE0CqkOc4q9oUmW1yo/edit?usp=sharing"",""แม่ฮ่องสอน!L244"")"),353580)</f>
        <v>353580</v>
      </c>
      <c r="M349" s="381"/>
      <c r="N349" s="381">
        <f ca="1">IFERROR(__xludf.DUMMYFUNCTION("IMPORTRANGE(""https://docs.google.com/spreadsheets/d/11923uPwbBZFjjGgGUA6NLw09EwE0CqkOc4q9oUmW1yo/edit?usp=sharing"",""แม่ฮ่องสอน!M244"")"),146756)</f>
        <v>146756</v>
      </c>
      <c r="O349" s="381">
        <f ca="1">+IF(L349&gt;0,N349*100/L349,0)</f>
        <v>41.505741274958993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IFERROR(__xludf.DUMMYFUNCTION("IMPORTRANGE(""https://docs.google.com/spreadsheets/d/11923uPwbBZFjjGgGUA6NLw09EwE0CqkOc4q9oUmW1yo/edit?usp=sharing"",""แม่ฮ่องสอน!I245"")"),50)</f>
        <v>50</v>
      </c>
      <c r="J350" s="379">
        <f ca="1">IFERROR(__xludf.DUMMYFUNCTION("IMPORTRANGE(""https://docs.google.com/spreadsheets/d/11923uPwbBZFjjGgGUA6NLw09EwE0CqkOc4q9oUmW1yo/edit?usp=sharing"",""แม่ฮ่องสอน!J245"")"),50)</f>
        <v>50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IFERROR(__xludf.DUMMYFUNCTION("IMPORTRANGE(""https://docs.google.com/spreadsheets/d/11923uPwbBZFjjGgGUA6NLw09EwE0CqkOc4q9oUmW1yo/edit?usp=sharing"",""แม่ฮ่องสอน!L246"")"),0)</f>
        <v>0</v>
      </c>
      <c r="M351" s="172"/>
      <c r="N351" s="172">
        <f ca="1">IFERROR(__xludf.DUMMYFUNCTION("IMPORTRANGE(""https://docs.google.com/spreadsheets/d/11923uPwbBZFjjGgGUA6NLw09EwE0CqkOc4q9oUmW1yo/edit?usp=sharing"",""แม่ฮ่องสอน!M246"")"),0)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IFERROR(__xludf.DUMMYFUNCTION("IMPORTRANGE(""https://docs.google.com/spreadsheets/d/11923uPwbBZFjjGgGUA6NLw09EwE0CqkOc4q9oUmW1yo/edit?usp=sharing"",""แม่ฮ่องสอน!L247"")"),353580)</f>
        <v>353580</v>
      </c>
      <c r="M352" s="173"/>
      <c r="N352" s="172">
        <f ca="1">IFERROR(__xludf.DUMMYFUNCTION("IMPORTRANGE(""https://docs.google.com/spreadsheets/d/11923uPwbBZFjjGgGUA6NLw09EwE0CqkOc4q9oUmW1yo/edit?usp=sharing"",""แม่ฮ่องสอน!M247"")"),146756)</f>
        <v>146756</v>
      </c>
      <c r="O352" s="173">
        <f t="shared" ca="1" si="105"/>
        <v>41.505741274958993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IFERROR(__xludf.DUMMYFUNCTION("IMPORTRANGE(""https://docs.google.com/spreadsheets/d/11923uPwbBZFjjGgGUA6NLw09EwE0CqkOc4q9oUmW1yo/edit?usp=sharing"",""แม่ฮ่องสอน!L248"")"),0)</f>
        <v>0</v>
      </c>
      <c r="M353" s="178"/>
      <c r="N353" s="178">
        <f ca="1">IFERROR(__xludf.DUMMYFUNCTION("IMPORTRANGE(""https://docs.google.com/spreadsheets/d/11923uPwbBZFjjGgGUA6NLw09EwE0CqkOc4q9oUmW1yo/edit?usp=sharing"",""แม่ฮ่องสอน!M248"")"),0)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IFERROR(__xludf.DUMMYFUNCTION("IMPORTRANGE(""https://docs.google.com/spreadsheets/d/11923uPwbBZFjjGgGUA6NLw09EwE0CqkOc4q9oUmW1yo/edit?usp=sharing"",""แม่ฮ่องสอน!L249"")"),353580)</f>
        <v>353580</v>
      </c>
      <c r="M354" s="178"/>
      <c r="N354" s="175">
        <f ca="1">IFERROR(__xludf.DUMMYFUNCTION("IMPORTRANGE(""https://docs.google.com/spreadsheets/d/11923uPwbBZFjjGgGUA6NLw09EwE0CqkOc4q9oUmW1yo/edit?usp=sharing"",""แม่ฮ่องสอน!M249"")"),146756)</f>
        <v>146756</v>
      </c>
      <c r="O354" s="178">
        <f t="shared" ca="1" si="105"/>
        <v>41.505741274958993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IFERROR(__xludf.DUMMYFUNCTION("IMPORTRANGE(""https://docs.google.com/spreadsheets/d/11923uPwbBZFjjGgGUA6NLw09EwE0CqkOc4q9oUmW1yo/edit?usp=sharing"",""แม่ฮ่องสอน!M250"")"),61800)</f>
        <v>61800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IFERROR(__xludf.DUMMYFUNCTION("IMPORTRANGE(""https://docs.google.com/spreadsheets/d/11923uPwbBZFjjGgGUA6NLw09EwE0CqkOc4q9oUmW1yo/edit?usp=sharing"",""แม่ฮ่องสอน!M251"")"),42000)</f>
        <v>42000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IFERROR(__xludf.DUMMYFUNCTION("IMPORTRANGE(""https://docs.google.com/spreadsheets/d/11923uPwbBZFjjGgGUA6NLw09EwE0CqkOc4q9oUmW1yo/edit?usp=sharing"",""แม่ฮ่องสอน!M252"")"),30516)</f>
        <v>30516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IFERROR(__xludf.DUMMYFUNCTION("IMPORTRANGE(""https://docs.google.com/spreadsheets/d/11923uPwbBZFjjGgGUA6NLw09EwE0CqkOc4q9oUmW1yo/edit?usp=sharing"",""แม่ฮ่องสอน!M253"")"),12440)</f>
        <v>12440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IFERROR(__xludf.DUMMYFUNCTION("IMPORTRANGE(""https://docs.google.com/spreadsheets/d/11923uPwbBZFjjGgGUA6NLw09EwE0CqkOc4q9oUmW1yo/edit?usp=sharing"",""แม่ฮ่องสอน!J255"")"),0)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IFERROR(__xludf.DUMMYFUNCTION("IMPORTRANGE(""https://docs.google.com/spreadsheets/d/11923uPwbBZFjjGgGUA6NLw09EwE0CqkOc4q9oUmW1yo/edit?usp=sharing"",""แม่ฮ่องสอน!J256"")"),1)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IFERROR(__xludf.DUMMYFUNCTION("IMPORTRANGE(""https://docs.google.com/spreadsheets/d/11923uPwbBZFjjGgGUA6NLw09EwE0CqkOc4q9oUmW1yo/edit?usp=sharing"",""แม่ฮ่องสอน!J257"")"),1)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IFERROR(__xludf.DUMMYFUNCTION("IMPORTRANGE(""https://docs.google.com/spreadsheets/d/11923uPwbBZFjjGgGUA6NLw09EwE0CqkOc4q9oUmW1yo/edit?usp=sharing"",""แม่ฮ่องสอน!J258"")"),1)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IFERROR(__xludf.DUMMYFUNCTION("IMPORTRANGE(""https://docs.google.com/spreadsheets/d/11923uPwbBZFjjGgGUA6NLw09EwE0CqkOc4q9oUmW1yo/edit?usp=sharing"",""แม่ฮ่องสอน!J166"")"),0)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IFERROR(__xludf.DUMMYFUNCTION("IMPORTRANGE(""https://docs.google.com/spreadsheets/d/11923uPwbBZFjjGgGUA6NLw09EwE0CqkOc4q9oUmW1yo/edit?usp=sharing"",""แม่ฮ่องสอน!J166"")"),0)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IFERROR(__xludf.DUMMYFUNCTION("IMPORTRANGE(""https://docs.google.com/spreadsheets/d/11923uPwbBZFjjGgGUA6NLw09EwE0CqkOc4q9oUmW1yo/edit?usp=sharing"",""แม่ฮ่องสอน!J166"")"),0)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IFERROR(__xludf.DUMMYFUNCTION("IMPORTRANGE(""https://docs.google.com/spreadsheets/d/11923uPwbBZFjjGgGUA6NLw09EwE0CqkOc4q9oUmW1yo/edit?usp=sharing"",""แม่ฮ่องสอน!J166"")"),0)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IFERROR(__xludf.DUMMYFUNCTION("IMPORTRANGE(""https://docs.google.com/spreadsheets/d/11923uPwbBZFjjGgGUA6NLw09EwE0CqkOc4q9oUmW1yo/edit?usp=sharing"",""แม่ฮ่องสอน!I263"")"),50)</f>
        <v>50</v>
      </c>
      <c r="J368" s="197">
        <f ca="1">IFERROR(__xludf.DUMMYFUNCTION("IMPORTRANGE(""https://docs.google.com/spreadsheets/d/11923uPwbBZFjjGgGUA6NLw09EwE0CqkOc4q9oUmW1yo/edit?usp=sharing"",""แม่ฮ่องสอน!J263"")"),50)</f>
        <v>50</v>
      </c>
      <c r="K368" s="171">
        <f t="shared" ca="1" si="106"/>
        <v>100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IFERROR(__xludf.DUMMYFUNCTION("IMPORTRANGE(""https://docs.google.com/spreadsheets/d/11923uPwbBZFjjGgGUA6NLw09EwE0CqkOc4q9oUmW1yo/edit?usp=sharing"",""แม่ฮ่องสอน!I164"")"),0)</f>
        <v>0</v>
      </c>
      <c r="J369" s="213">
        <f ca="1">IFERROR(__xludf.DUMMYFUNCTION("IMPORTRANGE(""https://docs.google.com/spreadsheets/d/11923uPwbBZFjjGgGUA6NLw09EwE0CqkOc4q9oUmW1yo/edit?usp=sharing"",""แม่ฮ่องสอน!J164"")"),0)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IFERROR(__xludf.DUMMYFUNCTION("IMPORTRANGE(""https://docs.google.com/spreadsheets/d/11923uPwbBZFjjGgGUA6NLw09EwE0CqkOc4q9oUmW1yo/edit?usp=sharing"",""แม่ฮ่องสอน!I265"")"),50)</f>
        <v>50</v>
      </c>
      <c r="J370" s="213">
        <f ca="1">IFERROR(__xludf.DUMMYFUNCTION("IMPORTRANGE(""https://docs.google.com/spreadsheets/d/11923uPwbBZFjjGgGUA6NLw09EwE0CqkOc4q9oUmW1yo/edit?usp=sharing"",""แม่ฮ่องสอน!J265"")"),0)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IFERROR(__xludf.DUMMYFUNCTION("IMPORTRANGE(""https://docs.google.com/spreadsheets/d/11923uPwbBZFjjGgGUA6NLw09EwE0CqkOc4q9oUmW1yo/edit?usp=sharing"",""แม่ฮ่องสอน!I164"")"),0)</f>
        <v>0</v>
      </c>
      <c r="J371" s="198">
        <f ca="1">IFERROR(__xludf.DUMMYFUNCTION("IMPORTRANGE(""https://docs.google.com/spreadsheets/d/11923uPwbBZFjjGgGUA6NLw09EwE0CqkOc4q9oUmW1yo/edit?usp=sharing"",""แม่ฮ่องสอน!J164"")"),0)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IFERROR(__xludf.DUMMYFUNCTION("IMPORTRANGE(""https://docs.google.com/spreadsheets/d/11923uPwbBZFjjGgGUA6NLw09EwE0CqkOc4q9oUmW1yo/edit?usp=sharing"",""แม่ฮ่องสอน!I267"")"),50)</f>
        <v>50</v>
      </c>
      <c r="J372" s="198">
        <f ca="1">IFERROR(__xludf.DUMMYFUNCTION("IMPORTRANGE(""https://docs.google.com/spreadsheets/d/11923uPwbBZFjjGgGUA6NLw09EwE0CqkOc4q9oUmW1yo/edit?usp=sharing"",""แม่ฮ่องสอน!J267"")"),50)</f>
        <v>50</v>
      </c>
      <c r="K372" s="171">
        <f t="shared" ca="1" si="106"/>
        <v>100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IFERROR(__xludf.DUMMYFUNCTION("IMPORTRANGE(""https://docs.google.com/spreadsheets/d/11923uPwbBZFjjGgGUA6NLw09EwE0CqkOc4q9oUmW1yo/edit?usp=sharing"",""แม่ฮ่องสอน!I164"")"),0)</f>
        <v>0</v>
      </c>
      <c r="J373" s="213">
        <f ca="1">IFERROR(__xludf.DUMMYFUNCTION("IMPORTRANGE(""https://docs.google.com/spreadsheets/d/11923uPwbBZFjjGgGUA6NLw09EwE0CqkOc4q9oUmW1yo/edit?usp=sharing"",""แม่ฮ่องสอน!J164"")"),0)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IFERROR(__xludf.DUMMYFUNCTION("IMPORTRANGE(""https://docs.google.com/spreadsheets/d/11923uPwbBZFjjGgGUA6NLw09EwE0CqkOc4q9oUmW1yo/edit?usp=sharing"",""แม่ฮ่องสอน!I164"")"),0)</f>
        <v>0</v>
      </c>
      <c r="J374" s="197">
        <f ca="1">IFERROR(__xludf.DUMMYFUNCTION("IMPORTRANGE(""https://docs.google.com/spreadsheets/d/11923uPwbBZFjjGgGUA6NLw09EwE0CqkOc4q9oUmW1yo/edit?usp=sharing"",""แม่ฮ่องสอน!J164"")"),0)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IFERROR(__xludf.DUMMYFUNCTION("IMPORTRANGE(""https://docs.google.com/spreadsheets/d/11923uPwbBZFjjGgGUA6NLw09EwE0CqkOc4q9oUmW1yo/edit?usp=sharing"",""แม่ฮ่องสอน!I270"")"),110)</f>
        <v>110</v>
      </c>
      <c r="J375" s="197">
        <f ca="1">IFERROR(__xludf.DUMMYFUNCTION("IMPORTRANGE(""https://docs.google.com/spreadsheets/d/11923uPwbBZFjjGgGUA6NLw09EwE0CqkOc4q9oUmW1yo/edit?usp=sharing"",""แม่ฮ่องสอน!J270"")"),60)</f>
        <v>60</v>
      </c>
      <c r="K375" s="171">
        <f t="shared" ref="K375:K377" ca="1" si="107">IF(I375&gt;0,J375*100/I375,0)</f>
        <v>54.545454545454547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IFERROR(__xludf.DUMMYFUNCTION("IMPORTRANGE(""https://docs.google.com/spreadsheets/d/11923uPwbBZFjjGgGUA6NLw09EwE0CqkOc4q9oUmW1yo/edit?usp=sharing"",""แม่ฮ่องสอน!I271"")"),60)</f>
        <v>60</v>
      </c>
      <c r="J376" s="198">
        <f ca="1">IFERROR(__xludf.DUMMYFUNCTION("IMPORTRANGE(""https://docs.google.com/spreadsheets/d/11923uPwbBZFjjGgGUA6NLw09EwE0CqkOc4q9oUmW1yo/edit?usp=sharing"",""แม่ฮ่องสอน!J271"")"),60)</f>
        <v>60</v>
      </c>
      <c r="K376" s="171">
        <f t="shared" ca="1" si="107"/>
        <v>100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IFERROR(__xludf.DUMMYFUNCTION("IMPORTRANGE(""https://docs.google.com/spreadsheets/d/11923uPwbBZFjjGgGUA6NLw09EwE0CqkOc4q9oUmW1yo/edit?usp=sharing"",""แม่ฮ่องสอน!I272"")"),50)</f>
        <v>50</v>
      </c>
      <c r="J377" s="213">
        <f ca="1">IFERROR(__xludf.DUMMYFUNCTION("IMPORTRANGE(""https://docs.google.com/spreadsheets/d/11923uPwbBZFjjGgGUA6NLw09EwE0CqkOc4q9oUmW1yo/edit?usp=sharing"",""แม่ฮ่องสอน!J272"")"),0)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IFERROR(__xludf.DUMMYFUNCTION("IMPORTRANGE(""https://docs.google.com/spreadsheets/d/11923uPwbBZFjjGgGUA6NLw09EwE0CqkOc4q9oUmW1yo/edit?usp=sharing"",""แม่ฮ่องสอน!J273"")"),0)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IFERROR(__xludf.DUMMYFUNCTION("IMPORTRANGE(""https://docs.google.com/spreadsheets/d/11923uPwbBZFjjGgGUA6NLw09EwE0CqkOc4q9oUmW1yo/edit?usp=sharing"",""แม่ฮ่องสอน!J274"")"),0)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IFERROR(__xludf.DUMMYFUNCTION("IMPORTRANGE(""https://docs.google.com/spreadsheets/d/11923uPwbBZFjjGgGUA6NLw09EwE0CqkOc4q9oUmW1yo/edit?usp=sharing"",""แม่ฮ่องสอน!I275"")"),100)</f>
        <v>100</v>
      </c>
      <c r="J380" s="379">
        <f ca="1">IFERROR(__xludf.DUMMYFUNCTION("IMPORTRANGE(""https://docs.google.com/spreadsheets/d/11923uPwbBZFjjGgGUA6NLw09EwE0CqkOc4q9oUmW1yo/edit?usp=sharing"",""แม่ฮ่องสอน!J275"")"),0)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IFERROR(__xludf.DUMMYFUNCTION("IMPORTRANGE(""https://docs.google.com/spreadsheets/d/11923uPwbBZFjjGgGUA6NLw09EwE0CqkOc4q9oUmW1yo/edit?usp=sharing"",""แม่ฮ่องสอน!L275"")"),127660)</f>
        <v>127660</v>
      </c>
      <c r="M380" s="381"/>
      <c r="N380" s="381">
        <f ca="1">IFERROR(__xludf.DUMMYFUNCTION("IMPORTRANGE(""https://docs.google.com/spreadsheets/d/11923uPwbBZFjjGgGUA6NLw09EwE0CqkOc4q9oUmW1yo/edit?usp=sharing"",""แม่ฮ่องสอน!M275"")"),48710)</f>
        <v>48710</v>
      </c>
      <c r="O380" s="381">
        <f ca="1">+IF(L380&gt;0,N380*100/L380,0)</f>
        <v>38.156039479868397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IFERROR(__xludf.DUMMYFUNCTION("IMPORTRANGE(""https://docs.google.com/spreadsheets/d/11923uPwbBZFjjGgGUA6NLw09EwE0CqkOc4q9oUmW1yo/edit?usp=sharing"",""แม่ฮ่องสอน!I276"")"),10)</f>
        <v>10</v>
      </c>
      <c r="J381" s="379">
        <f ca="1">IFERROR(__xludf.DUMMYFUNCTION("IMPORTRANGE(""https://docs.google.com/spreadsheets/d/11923uPwbBZFjjGgGUA6NLw09EwE0CqkOc4q9oUmW1yo/edit?usp=sharing"",""แม่ฮ่องสอน!J276"")"),10)</f>
        <v>10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IFERROR(__xludf.DUMMYFUNCTION("IMPORTRANGE(""https://docs.google.com/spreadsheets/d/11923uPwbBZFjjGgGUA6NLw09EwE0CqkOc4q9oUmW1yo/edit?usp=sharing"",""แม่ฮ่องสอน!L277"")"),0)</f>
        <v>0</v>
      </c>
      <c r="M382" s="172"/>
      <c r="N382" s="172">
        <f ca="1">IFERROR(__xludf.DUMMYFUNCTION("IMPORTRANGE(""https://docs.google.com/spreadsheets/d/11923uPwbBZFjjGgGUA6NLw09EwE0CqkOc4q9oUmW1yo/edit?usp=sharing"",""แม่ฮ่องสอน!M277"")"),0)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IFERROR(__xludf.DUMMYFUNCTION("IMPORTRANGE(""https://docs.google.com/spreadsheets/d/11923uPwbBZFjjGgGUA6NLw09EwE0CqkOc4q9oUmW1yo/edit?usp=sharing"",""แม่ฮ่องสอน!L278"")"),127660)</f>
        <v>127660</v>
      </c>
      <c r="M383" s="173"/>
      <c r="N383" s="173">
        <f ca="1">IFERROR(__xludf.DUMMYFUNCTION("IMPORTRANGE(""https://docs.google.com/spreadsheets/d/11923uPwbBZFjjGgGUA6NLw09EwE0CqkOc4q9oUmW1yo/edit?usp=sharing"",""แม่ฮ่องสอน!M278"")"),48710)</f>
        <v>48710</v>
      </c>
      <c r="O383" s="173">
        <f t="shared" ca="1" si="109"/>
        <v>38.156039479868397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IFERROR(__xludf.DUMMYFUNCTION("IMPORTRANGE(""https://docs.google.com/spreadsheets/d/11923uPwbBZFjjGgGUA6NLw09EwE0CqkOc4q9oUmW1yo/edit?usp=sharing"",""แม่ฮ่องสอน!L279"")"),0)</f>
        <v>0</v>
      </c>
      <c r="M384" s="178"/>
      <c r="N384" s="178">
        <f ca="1">IFERROR(__xludf.DUMMYFUNCTION("IMPORTRANGE(""https://docs.google.com/spreadsheets/d/11923uPwbBZFjjGgGUA6NLw09EwE0CqkOc4q9oUmW1yo/edit?usp=sharing"",""แม่ฮ่องสอน!M279"")"),0)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78"/>
      <c r="N385" s="175">
        <f ca="1">IFERROR(__xludf.DUMMYFUNCTION("IMPORTRANGE(""https://docs.google.com/spreadsheets/d/11923uPwbBZFjjGgGUA6NLw09EwE0CqkOc4q9oUmW1yo/edit?usp=sharing"",""แม่ฮ่องสอน!M280"")"),48710)</f>
        <v>48710</v>
      </c>
      <c r="O385" s="178">
        <f t="shared" ca="1" si="109"/>
        <v>38.156039479868397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IFERROR(__xludf.DUMMYFUNCTION("IMPORTRANGE(""https://docs.google.com/spreadsheets/d/11923uPwbBZFjjGgGUA6NLw09EwE0CqkOc4q9oUmW1yo/edit?usp=sharing"",""แม่ฮ่องสอน!M281"")"),41400)</f>
        <v>41400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IFERROR(__xludf.DUMMYFUNCTION("IMPORTRANGE(""https://docs.google.com/spreadsheets/d/11923uPwbBZFjjGgGUA6NLw09EwE0CqkOc4q9oUmW1yo/edit?usp=sharing"",""แม่ฮ่องสอน!M282"")"),0)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IFERROR(__xludf.DUMMYFUNCTION("IMPORTRANGE(""https://docs.google.com/spreadsheets/d/11923uPwbBZFjjGgGUA6NLw09EwE0CqkOc4q9oUmW1yo/edit?usp=sharing"",""แม่ฮ่องสอน!M283"")"),0)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IFERROR(__xludf.DUMMYFUNCTION("IMPORTRANGE(""https://docs.google.com/spreadsheets/d/11923uPwbBZFjjGgGUA6NLw09EwE0CqkOc4q9oUmW1yo/edit?usp=sharing"",""แม่ฮ่องสอน!M284"")"),7310)</f>
        <v>7310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IFERROR(__xludf.DUMMYFUNCTION("IMPORTRANGE(""https://docs.google.com/spreadsheets/d/11923uPwbBZFjjGgGUA6NLw09EwE0CqkOc4q9oUmW1yo/edit?usp=sharing"",""แม่ฮ่องสอน!J286"")"),0)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IFERROR(__xludf.DUMMYFUNCTION("IMPORTRANGE(""https://docs.google.com/spreadsheets/d/11923uPwbBZFjjGgGUA6NLw09EwE0CqkOc4q9oUmW1yo/edit?usp=sharing"",""แม่ฮ่องสอน!J287"")"),1)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IFERROR(__xludf.DUMMYFUNCTION("IMPORTRANGE(""https://docs.google.com/spreadsheets/d/11923uPwbBZFjjGgGUA6NLw09EwE0CqkOc4q9oUmW1yo/edit?usp=sharing"",""แม่ฮ่องสอน!J288"")"),1)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IFERROR(__xludf.DUMMYFUNCTION("IMPORTRANGE(""https://docs.google.com/spreadsheets/d/11923uPwbBZFjjGgGUA6NLw09EwE0CqkOc4q9oUmW1yo/edit?usp=sharing"",""แม่ฮ่องสอน!J289"")"),1)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IFERROR(__xludf.DUMMYFUNCTION("IMPORTRANGE(""https://docs.google.com/spreadsheets/d/11923uPwbBZFjjGgGUA6NLw09EwE0CqkOc4q9oUmW1yo/edit?usp=sharing"",""แม่ฮ่องสอน!I291"")"),10)</f>
        <v>10</v>
      </c>
      <c r="J396" s="207">
        <f ca="1">IFERROR(__xludf.DUMMYFUNCTION("IMPORTRANGE(""https://docs.google.com/spreadsheets/d/11923uPwbBZFjjGgGUA6NLw09EwE0CqkOc4q9oUmW1yo/edit?usp=sharing"",""แม่ฮ่องสอน!J291"")"),10)</f>
        <v>10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IFERROR(__xludf.DUMMYFUNCTION("IMPORTRANGE(""https://docs.google.com/spreadsheets/d/11923uPwbBZFjjGgGUA6NLw09EwE0CqkOc4q9oUmW1yo/edit?usp=sharing"",""แม่ฮ่องสอน!I292"")"),100)</f>
        <v>100</v>
      </c>
      <c r="J397" s="207">
        <f ca="1">IFERROR(__xludf.DUMMYFUNCTION("IMPORTRANGE(""https://docs.google.com/spreadsheets/d/11923uPwbBZFjjGgGUA6NLw09EwE0CqkOc4q9oUmW1yo/edit?usp=sharing"",""แม่ฮ่องสอน!J292"")"),0)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IFERROR(__xludf.DUMMYFUNCTION("IMPORTRANGE(""https://docs.google.com/spreadsheets/d/11923uPwbBZFjjGgGUA6NLw09EwE0CqkOc4q9oUmW1yo/edit?usp=sharing"",""แม่ฮ่องสอน!I293"")"),10)</f>
        <v>10</v>
      </c>
      <c r="J398" s="207">
        <f ca="1">IFERROR(__xludf.DUMMYFUNCTION("IMPORTRANGE(""https://docs.google.com/spreadsheets/d/11923uPwbBZFjjGgGUA6NLw09EwE0CqkOc4q9oUmW1yo/edit?usp=sharing"",""แม่ฮ่องสอน!J293"")"),0)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IFERROR(__xludf.DUMMYFUNCTION("IMPORTRANGE(""https://docs.google.com/spreadsheets/d/11923uPwbBZFjjGgGUA6NLw09EwE0CqkOc4q9oUmW1yo/edit?usp=sharing"",""แม่ฮ่องสอน!J294"")"),0)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IFERROR(__xludf.DUMMYFUNCTION("IMPORTRANGE(""https://docs.google.com/spreadsheets/d/11923uPwbBZFjjGgGUA6NLw09EwE0CqkOc4q9oUmW1yo/edit?usp=sharing"",""แม่ฮ่องสอน!J295"")"),0)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IFERROR(__xludf.DUMMYFUNCTION("IMPORTRANGE(""https://docs.google.com/spreadsheets/d/11923uPwbBZFjjGgGUA6NLw09EwE0CqkOc4q9oUmW1yo/edit?usp=sharing"",""แม่ฮ่องสอน!I296"")"),93)</f>
        <v>93</v>
      </c>
      <c r="J401" s="379">
        <f ca="1">IFERROR(__xludf.DUMMYFUNCTION("IMPORTRANGE(""https://docs.google.com/spreadsheets/d/11923uPwbBZFjjGgGUA6NLw09EwE0CqkOc4q9oUmW1yo/edit?usp=sharing"",""แม่ฮ่องสอน!J296"")"),0)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IFERROR(__xludf.DUMMYFUNCTION("IMPORTRANGE(""https://docs.google.com/spreadsheets/d/11923uPwbBZFjjGgGUA6NLw09EwE0CqkOc4q9oUmW1yo/edit?usp=sharing"",""แม่ฮ่องสอน!L296"")"),104590)</f>
        <v>104590</v>
      </c>
      <c r="M401" s="381"/>
      <c r="N401" s="381">
        <f ca="1">IFERROR(__xludf.DUMMYFUNCTION("IMPORTRANGE(""https://docs.google.com/spreadsheets/d/11923uPwbBZFjjGgGUA6NLw09EwE0CqkOc4q9oUmW1yo/edit?usp=sharing"",""แม่ฮ่องสอน!M296"")"),51320)</f>
        <v>51320</v>
      </c>
      <c r="O401" s="381">
        <f ca="1">+IF(L401&gt;0,N401*100/L401,0)</f>
        <v>49.067788507505497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IFERROR(__xludf.DUMMYFUNCTION("IMPORTRANGE(""https://docs.google.com/spreadsheets/d/11923uPwbBZFjjGgGUA6NLw09EwE0CqkOc4q9oUmW1yo/edit?usp=sharing"",""แม่ฮ่องสอน!I297"")"),31)</f>
        <v>31</v>
      </c>
      <c r="J402" s="379">
        <f ca="1">IFERROR(__xludf.DUMMYFUNCTION("IMPORTRANGE(""https://docs.google.com/spreadsheets/d/11923uPwbBZFjjGgGUA6NLw09EwE0CqkOc4q9oUmW1yo/edit?usp=sharing"",""แม่ฮ่องสอน!J297"")"),0)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IFERROR(__xludf.DUMMYFUNCTION("IMPORTRANGE(""https://docs.google.com/spreadsheets/d/11923uPwbBZFjjGgGUA6NLw09EwE0CqkOc4q9oUmW1yo/edit?usp=sharing"",""แม่ฮ่องสอน!L298"")"),0)</f>
        <v>0</v>
      </c>
      <c r="M403" s="172"/>
      <c r="N403" s="178">
        <f ca="1">IFERROR(__xludf.DUMMYFUNCTION("IMPORTRANGE(""https://docs.google.com/spreadsheets/d/11923uPwbBZFjjGgGUA6NLw09EwE0CqkOc4q9oUmW1yo/edit?usp=sharing"",""แม่ฮ่องสอน!M298"")"),0)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IFERROR(__xludf.DUMMYFUNCTION("IMPORTRANGE(""https://docs.google.com/spreadsheets/d/11923uPwbBZFjjGgGUA6NLw09EwE0CqkOc4q9oUmW1yo/edit?usp=sharing"",""แม่ฮ่องสอน!L299"")"),104590)</f>
        <v>104590</v>
      </c>
      <c r="M404" s="173"/>
      <c r="N404" s="178">
        <f ca="1">IFERROR(__xludf.DUMMYFUNCTION("IMPORTRANGE(""https://docs.google.com/spreadsheets/d/11923uPwbBZFjjGgGUA6NLw09EwE0CqkOc4q9oUmW1yo/edit?usp=sharing"",""แม่ฮ่องสอน!M299"")"),51320)</f>
        <v>51320</v>
      </c>
      <c r="O404" s="178">
        <f t="shared" ca="1" si="112"/>
        <v>49.067788507505497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IFERROR(__xludf.DUMMYFUNCTION("IMPORTRANGE(""https://docs.google.com/spreadsheets/d/11923uPwbBZFjjGgGUA6NLw09EwE0CqkOc4q9oUmW1yo/edit?usp=sharing"",""แม่ฮ่องสอน!L300"")"),0)</f>
        <v>0</v>
      </c>
      <c r="M405" s="178"/>
      <c r="N405" s="178">
        <f ca="1">IFERROR(__xludf.DUMMYFUNCTION("IMPORTRANGE(""https://docs.google.com/spreadsheets/d/11923uPwbBZFjjGgGUA6NLw09EwE0CqkOc4q9oUmW1yo/edit?usp=sharing"",""แม่ฮ่องสอน!M300"")"),0)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78"/>
      <c r="N406" s="178">
        <f ca="1">IFERROR(__xludf.DUMMYFUNCTION("IMPORTRANGE(""https://docs.google.com/spreadsheets/d/11923uPwbBZFjjGgGUA6NLw09EwE0CqkOc4q9oUmW1yo/edit?usp=sharing"",""แม่ฮ่องสอน!M301"")"),51320)</f>
        <v>51320</v>
      </c>
      <c r="O406" s="178">
        <f t="shared" ca="1" si="112"/>
        <v>49.067788507505497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IFERROR(__xludf.DUMMYFUNCTION("IMPORTRANGE(""https://docs.google.com/spreadsheets/d/11923uPwbBZFjjGgGUA6NLw09EwE0CqkOc4q9oUmW1yo/edit?usp=sharing"",""แม่ฮ่องสอน!M302"")"),51320)</f>
        <v>51320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IFERROR(__xludf.DUMMYFUNCTION("IMPORTRANGE(""https://docs.google.com/spreadsheets/d/11923uPwbBZFjjGgGUA6NLw09EwE0CqkOc4q9oUmW1yo/edit?usp=sharing"",""แม่ฮ่องสอน!M303"")"),0)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IFERROR(__xludf.DUMMYFUNCTION("IMPORTRANGE(""https://docs.google.com/spreadsheets/d/11923uPwbBZFjjGgGUA6NLw09EwE0CqkOc4q9oUmW1yo/edit?usp=sharing"",""แม่ฮ่องสอน!M304"")"),0)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IFERROR(__xludf.DUMMYFUNCTION("IMPORTRANGE(""https://docs.google.com/spreadsheets/d/11923uPwbBZFjjGgGUA6NLw09EwE0CqkOc4q9oUmW1yo/edit?usp=sharing"",""แม่ฮ่องสอน!M305"")"),0)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IFERROR(__xludf.DUMMYFUNCTION("IMPORTRANGE(""https://docs.google.com/spreadsheets/d/11923uPwbBZFjjGgGUA6NLw09EwE0CqkOc4q9oUmW1yo/edit?usp=sharing"",""แม่ฮ่องสอน!J307"")"),0)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IFERROR(__xludf.DUMMYFUNCTION("IMPORTRANGE(""https://docs.google.com/spreadsheets/d/11923uPwbBZFjjGgGUA6NLw09EwE0CqkOc4q9oUmW1yo/edit?usp=sharing"",""แม่ฮ่องสอน!J308"")"),1)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IFERROR(__xludf.DUMMYFUNCTION("IMPORTRANGE(""https://docs.google.com/spreadsheets/d/11923uPwbBZFjjGgGUA6NLw09EwE0CqkOc4q9oUmW1yo/edit?usp=sharing"",""แม่ฮ่องสอน!J309"")"),1)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IFERROR(__xludf.DUMMYFUNCTION("IMPORTRANGE(""https://docs.google.com/spreadsheets/d/11923uPwbBZFjjGgGUA6NLw09EwE0CqkOc4q9oUmW1yo/edit?usp=sharing"",""แม่ฮ่องสอน!J310"")"),0)</f>
        <v>0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IFERROR(__xludf.DUMMYFUNCTION("IMPORTRANGE(""https://docs.google.com/spreadsheets/d/11923uPwbBZFjjGgGUA6NLw09EwE0CqkOc4q9oUmW1yo/edit?usp=sharing"",""แม่ฮ่องสอน!I311"")"),31)</f>
        <v>31</v>
      </c>
      <c r="J416" s="210">
        <f ca="1">IFERROR(__xludf.DUMMYFUNCTION("IMPORTRANGE(""https://docs.google.com/spreadsheets/d/11923uPwbBZFjjGgGUA6NLw09EwE0CqkOc4q9oUmW1yo/edit?usp=sharing"",""แม่ฮ่องสอน!J311"")"),0)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IFERROR(__xludf.DUMMYFUNCTION("IMPORTRANGE(""https://docs.google.com/spreadsheets/d/11923uPwbBZFjjGgGUA6NLw09EwE0CqkOc4q9oUmW1yo/edit?usp=sharing"",""แม่ฮ่องสอน!I312"")"),0)</f>
        <v>0</v>
      </c>
      <c r="J417" s="400">
        <f ca="1">IFERROR(__xludf.DUMMYFUNCTION("IMPORTRANGE(""https://docs.google.com/spreadsheets/d/11923uPwbBZFjjGgGUA6NLw09EwE0CqkOc4q9oUmW1yo/edit?usp=sharing"",""แม่ฮ่องสอน!J312"")"),0)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IFERROR(__xludf.DUMMYFUNCTION("IMPORTRANGE(""https://docs.google.com/spreadsheets/d/11923uPwbBZFjjGgGUA6NLw09EwE0CqkOc4q9oUmW1yo/edit?usp=sharing"",""แม่ฮ่องสอน!I313"")"),0)</f>
        <v>0</v>
      </c>
      <c r="J418" s="401">
        <f ca="1">IFERROR(__xludf.DUMMYFUNCTION("IMPORTRANGE(""https://docs.google.com/spreadsheets/d/11923uPwbBZFjjGgGUA6NLw09EwE0CqkOc4q9oUmW1yo/edit?usp=sharing"",""แม่ฮ่องสอน!J313"")"),0)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IFERROR(__xludf.DUMMYFUNCTION("IMPORTRANGE(""https://docs.google.com/spreadsheets/d/11923uPwbBZFjjGgGUA6NLw09EwE0CqkOc4q9oUmW1yo/edit?usp=sharing"",""แม่ฮ่องสอน!I314"")"),0)</f>
        <v>0</v>
      </c>
      <c r="J419" s="402">
        <f ca="1">IFERROR(__xludf.DUMMYFUNCTION("IMPORTRANGE(""https://docs.google.com/spreadsheets/d/11923uPwbBZFjjGgGUA6NLw09EwE0CqkOc4q9oUmW1yo/edit?usp=sharing"",""แม่ฮ่องสอน!J314"")"),0)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IFERROR(__xludf.DUMMYFUNCTION("IMPORTRANGE(""https://docs.google.com/spreadsheets/d/11923uPwbBZFjjGgGUA6NLw09EwE0CqkOc4q9oUmW1yo/edit?usp=sharing"",""แม่ฮ่องสอน!I315"")"),0)</f>
        <v>0</v>
      </c>
      <c r="J420" s="402">
        <f ca="1">IFERROR(__xludf.DUMMYFUNCTION("IMPORTRANGE(""https://docs.google.com/spreadsheets/d/11923uPwbBZFjjGgGUA6NLw09EwE0CqkOc4q9oUmW1yo/edit?usp=sharing"",""แม่ฮ่องสอน!J315"")"),0)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IFERROR(__xludf.DUMMYFUNCTION("IMPORTRANGE(""https://docs.google.com/spreadsheets/d/11923uPwbBZFjjGgGUA6NLw09EwE0CqkOc4q9oUmW1yo/edit?usp=sharing"",""แม่ฮ่องสอน!I316"")"),21)</f>
        <v>21</v>
      </c>
      <c r="J421" s="400">
        <f ca="1">IFERROR(__xludf.DUMMYFUNCTION("IMPORTRANGE(""https://docs.google.com/spreadsheets/d/11923uPwbBZFjjGgGUA6NLw09EwE0CqkOc4q9oUmW1yo/edit?usp=sharing"",""แม่ฮ่องสอน!J316"")"),0)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IFERROR(__xludf.DUMMYFUNCTION("IMPORTRANGE(""https://docs.google.com/spreadsheets/d/11923uPwbBZFjjGgGUA6NLw09EwE0CqkOc4q9oUmW1yo/edit?usp=sharing"",""แม่ฮ่องสอน!I317"")"),63)</f>
        <v>63</v>
      </c>
      <c r="J422" s="401">
        <f ca="1">IFERROR(__xludf.DUMMYFUNCTION("IMPORTRANGE(""https://docs.google.com/spreadsheets/d/11923uPwbBZFjjGgGUA6NLw09EwE0CqkOc4q9oUmW1yo/edit?usp=sharing"",""แม่ฮ่องสอน!J317"")"),0)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IFERROR(__xludf.DUMMYFUNCTION("IMPORTRANGE(""https://docs.google.com/spreadsheets/d/11923uPwbBZFjjGgGUA6NLw09EwE0CqkOc4q9oUmW1yo/edit?usp=sharing"",""แม่ฮ่องสอน!I318"")"),21)</f>
        <v>21</v>
      </c>
      <c r="J423" s="402">
        <f ca="1">IFERROR(__xludf.DUMMYFUNCTION("IMPORTRANGE(""https://docs.google.com/spreadsheets/d/11923uPwbBZFjjGgGUA6NLw09EwE0CqkOc4q9oUmW1yo/edit?usp=sharing"",""แม่ฮ่องสอน!J318"")"),0)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IFERROR(__xludf.DUMMYFUNCTION("IMPORTRANGE(""https://docs.google.com/spreadsheets/d/11923uPwbBZFjjGgGUA6NLw09EwE0CqkOc4q9oUmW1yo/edit?usp=sharing"",""แม่ฮ่องสอน!I319"")"),21)</f>
        <v>21</v>
      </c>
      <c r="J424" s="402">
        <f ca="1">IFERROR(__xludf.DUMMYFUNCTION("IMPORTRANGE(""https://docs.google.com/spreadsheets/d/11923uPwbBZFjjGgGUA6NLw09EwE0CqkOc4q9oUmW1yo/edit?usp=sharing"",""แม่ฮ่องสอน!J319"")"),0)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IFERROR(__xludf.DUMMYFUNCTION("IMPORTRANGE(""https://docs.google.com/spreadsheets/d/11923uPwbBZFjjGgGUA6NLw09EwE0CqkOc4q9oUmW1yo/edit?usp=sharing"",""แม่ฮ่องสอน!I320"")"),21)</f>
        <v>21</v>
      </c>
      <c r="J425" s="402">
        <f ca="1">IFERROR(__xludf.DUMMYFUNCTION("IMPORTRANGE(""https://docs.google.com/spreadsheets/d/11923uPwbBZFjjGgGUA6NLw09EwE0CqkOc4q9oUmW1yo/edit?usp=sharing"",""แม่ฮ่องสอน!J320"")"),0)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IFERROR(__xludf.DUMMYFUNCTION("IMPORTRANGE(""https://docs.google.com/spreadsheets/d/11923uPwbBZFjjGgGUA6NLw09EwE0CqkOc4q9oUmW1yo/edit?usp=sharing"",""แม่ฮ่องสอน!I321"")"),10)</f>
        <v>10</v>
      </c>
      <c r="J426" s="400">
        <f ca="1">IFERROR(__xludf.DUMMYFUNCTION("IMPORTRANGE(""https://docs.google.com/spreadsheets/d/11923uPwbBZFjjGgGUA6NLw09EwE0CqkOc4q9oUmW1yo/edit?usp=sharing"",""แม่ฮ่องสอน!J321"")"),0)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IFERROR(__xludf.DUMMYFUNCTION("IMPORTRANGE(""https://docs.google.com/spreadsheets/d/11923uPwbBZFjjGgGUA6NLw09EwE0CqkOc4q9oUmW1yo/edit?usp=sharing"",""แม่ฮ่องสอน!I322"")"),30)</f>
        <v>30</v>
      </c>
      <c r="J427" s="401">
        <f ca="1">IFERROR(__xludf.DUMMYFUNCTION("IMPORTRANGE(""https://docs.google.com/spreadsheets/d/11923uPwbBZFjjGgGUA6NLw09EwE0CqkOc4q9oUmW1yo/edit?usp=sharing"",""แม่ฮ่องสอน!J322"")"),0)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IFERROR(__xludf.DUMMYFUNCTION("IMPORTRANGE(""https://docs.google.com/spreadsheets/d/11923uPwbBZFjjGgGUA6NLw09EwE0CqkOc4q9oUmW1yo/edit?usp=sharing"",""แม่ฮ่องสอน!I323"")"),10)</f>
        <v>10</v>
      </c>
      <c r="J428" s="402">
        <f ca="1">IFERROR(__xludf.DUMMYFUNCTION("IMPORTRANGE(""https://docs.google.com/spreadsheets/d/11923uPwbBZFjjGgGUA6NLw09EwE0CqkOc4q9oUmW1yo/edit?usp=sharing"",""แม่ฮ่องสอน!J323"")"),0)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IFERROR(__xludf.DUMMYFUNCTION("IMPORTRANGE(""https://docs.google.com/spreadsheets/d/11923uPwbBZFjjGgGUA6NLw09EwE0CqkOc4q9oUmW1yo/edit?usp=sharing"",""แม่ฮ่องสอน!I324"")"),10)</f>
        <v>10</v>
      </c>
      <c r="J429" s="402">
        <f ca="1">IFERROR(__xludf.DUMMYFUNCTION("IMPORTRANGE(""https://docs.google.com/spreadsheets/d/11923uPwbBZFjjGgGUA6NLw09EwE0CqkOc4q9oUmW1yo/edit?usp=sharing"",""แม่ฮ่องสอน!J324"")"),0)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IFERROR(__xludf.DUMMYFUNCTION("IMPORTRANGE(""https://docs.google.com/spreadsheets/d/11923uPwbBZFjjGgGUA6NLw09EwE0CqkOc4q9oUmW1yo/edit?usp=sharing"",""แม่ฮ่องสอน!I325"")"),21)</f>
        <v>21</v>
      </c>
      <c r="J430" s="400">
        <f ca="1">IFERROR(__xludf.DUMMYFUNCTION("IMPORTRANGE(""https://docs.google.com/spreadsheets/d/11923uPwbBZFjjGgGUA6NLw09EwE0CqkOc4q9oUmW1yo/edit?usp=sharing"",""แม่ฮ่องสอน!J325"")"),0)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IFERROR(__xludf.DUMMYFUNCTION("IMPORTRANGE(""https://docs.google.com/spreadsheets/d/11923uPwbBZFjjGgGUA6NLw09EwE0CqkOc4q9oUmW1yo/edit?usp=sharing"",""แม่ฮ่องสอน!I326"")"),0)</f>
        <v>0</v>
      </c>
      <c r="J431" s="402">
        <f ca="1">IFERROR(__xludf.DUMMYFUNCTION("IMPORTRANGE(""https://docs.google.com/spreadsheets/d/11923uPwbBZFjjGgGUA6NLw09EwE0CqkOc4q9oUmW1yo/edit?usp=sharing"",""แม่ฮ่องสอน!J326"")"),0)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IFERROR(__xludf.DUMMYFUNCTION("IMPORTRANGE(""https://docs.google.com/spreadsheets/d/11923uPwbBZFjjGgGUA6NLw09EwE0CqkOc4q9oUmW1yo/edit?usp=sharing"",""แม่ฮ่องสอน!I327"")"),21)</f>
        <v>21</v>
      </c>
      <c r="J432" s="402">
        <f ca="1">IFERROR(__xludf.DUMMYFUNCTION("IMPORTRANGE(""https://docs.google.com/spreadsheets/d/11923uPwbBZFjjGgGUA6NLw09EwE0CqkOc4q9oUmW1yo/edit?usp=sharing"",""แม่ฮ่องสอน!J327"")"),0)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IFERROR(__xludf.DUMMYFUNCTION("IMPORTRANGE(""https://docs.google.com/spreadsheets/d/11923uPwbBZFjjGgGUA6NLw09EwE0CqkOc4q9oUmW1yo/edit?usp=sharing"",""แม่ฮ่องสอน!J328"")"),0)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IFERROR(__xludf.DUMMYFUNCTION("IMPORTRANGE(""https://docs.google.com/spreadsheets/d/11923uPwbBZFjjGgGUA6NLw09EwE0CqkOc4q9oUmW1yo/edit?usp=sharing"",""แม่ฮ่องสอน!J329"")"),0)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IFERROR(__xludf.DUMMYFUNCTION("IMPORTRANGE(""https://docs.google.com/spreadsheets/d/11923uPwbBZFjjGgGUA6NLw09EwE0CqkOc4q9oUmW1yo/edit?usp=sharing"",""แม่ฮ่องสอน!I330"")"),20)</f>
        <v>20</v>
      </c>
      <c r="J435" s="418">
        <f ca="1">IFERROR(__xludf.DUMMYFUNCTION("IMPORTRANGE(""https://docs.google.com/spreadsheets/d/11923uPwbBZFjjGgGUA6NLw09EwE0CqkOc4q9oUmW1yo/edit?usp=sharing"",""แม่ฮ่องสอน!J330"")"),20)</f>
        <v>20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IFERROR(__xludf.DUMMYFUNCTION("IMPORTRANGE(""https://docs.google.com/spreadsheets/d/11923uPwbBZFjjGgGUA6NLw09EwE0CqkOc4q9oUmW1yo/edit?usp=sharing"",""แม่ฮ่องสอน!L330"")"),95000)</f>
        <v>95000</v>
      </c>
      <c r="M435" s="420"/>
      <c r="N435" s="420">
        <f ca="1">IFERROR(__xludf.DUMMYFUNCTION("IMPORTRANGE(""https://docs.google.com/spreadsheets/d/11923uPwbBZFjjGgGUA6NLw09EwE0CqkOc4q9oUmW1yo/edit?usp=sharing"",""แม่ฮ่องสอน!M330"")"),50065)</f>
        <v>50065</v>
      </c>
      <c r="O435" s="420">
        <f t="shared" ref="O435:O439" ca="1" si="114">+IF(L435&gt;0,N435*100/L435,0)</f>
        <v>52.7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IFERROR(__xludf.DUMMYFUNCTION("IMPORTRANGE(""https://docs.google.com/spreadsheets/d/11923uPwbBZFjjGgGUA6NLw09EwE0CqkOc4q9oUmW1yo/edit?usp=sharing"",""แม่ฮ่องสอน!L331"")"),0)</f>
        <v>0</v>
      </c>
      <c r="M436" s="172"/>
      <c r="N436" s="178">
        <f ca="1">IFERROR(__xludf.DUMMYFUNCTION("IMPORTRANGE(""https://docs.google.com/spreadsheets/d/11923uPwbBZFjjGgGUA6NLw09EwE0CqkOc4q9oUmW1yo/edit?usp=sharing"",""แม่ฮ่องสอน!M331"")"),0)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IFERROR(__xludf.DUMMYFUNCTION("IMPORTRANGE(""https://docs.google.com/spreadsheets/d/11923uPwbBZFjjGgGUA6NLw09EwE0CqkOc4q9oUmW1yo/edit?usp=sharing"",""แม่ฮ่องสอน!L332"")"),95000)</f>
        <v>95000</v>
      </c>
      <c r="M437" s="173"/>
      <c r="N437" s="178">
        <f ca="1">IFERROR(__xludf.DUMMYFUNCTION("IMPORTRANGE(""https://docs.google.com/spreadsheets/d/11923uPwbBZFjjGgGUA6NLw09EwE0CqkOc4q9oUmW1yo/edit?usp=sharing"",""แม่ฮ่องสอน!M332"")"),50065)</f>
        <v>50065</v>
      </c>
      <c r="O437" s="178">
        <f t="shared" ca="1" si="114"/>
        <v>52.7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IFERROR(__xludf.DUMMYFUNCTION("IMPORTRANGE(""https://docs.google.com/spreadsheets/d/11923uPwbBZFjjGgGUA6NLw09EwE0CqkOc4q9oUmW1yo/edit?usp=sharing"",""แม่ฮ่องสอน!L333"")"),0)</f>
        <v>0</v>
      </c>
      <c r="M438" s="178"/>
      <c r="N438" s="178">
        <f ca="1">IFERROR(__xludf.DUMMYFUNCTION("IMPORTRANGE(""https://docs.google.com/spreadsheets/d/11923uPwbBZFjjGgGUA6NLw09EwE0CqkOc4q9oUmW1yo/edit?usp=sharing"",""แม่ฮ่องสอน!M333"")"),0)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IFERROR(__xludf.DUMMYFUNCTION("IMPORTRANGE(""https://docs.google.com/spreadsheets/d/11923uPwbBZFjjGgGUA6NLw09EwE0CqkOc4q9oUmW1yo/edit?usp=sharing"",""แม่ฮ่องสอน!L334"")"),95000)</f>
        <v>95000</v>
      </c>
      <c r="M439" s="178"/>
      <c r="N439" s="178">
        <f ca="1">IFERROR(__xludf.DUMMYFUNCTION("IMPORTRANGE(""https://docs.google.com/spreadsheets/d/11923uPwbBZFjjGgGUA6NLw09EwE0CqkOc4q9oUmW1yo/edit?usp=sharing"",""แม่ฮ่องสอน!M334"")"),50065)</f>
        <v>50065</v>
      </c>
      <c r="O439" s="178">
        <f t="shared" ca="1" si="114"/>
        <v>52.7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IFERROR(__xludf.DUMMYFUNCTION("IMPORTRANGE(""https://docs.google.com/spreadsheets/d/11923uPwbBZFjjGgGUA6NLw09EwE0CqkOc4q9oUmW1yo/edit?usp=sharing"",""แม่ฮ่องสอน!M335"")"),44200)</f>
        <v>44200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IFERROR(__xludf.DUMMYFUNCTION("IMPORTRANGE(""https://docs.google.com/spreadsheets/d/11923uPwbBZFjjGgGUA6NLw09EwE0CqkOc4q9oUmW1yo/edit?usp=sharing"",""แม่ฮ่องสอน!M336"")"),0)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IFERROR(__xludf.DUMMYFUNCTION("IMPORTRANGE(""https://docs.google.com/spreadsheets/d/11923uPwbBZFjjGgGUA6NLw09EwE0CqkOc4q9oUmW1yo/edit?usp=sharing"",""แม่ฮ่องสอน!M337"")"),0)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IFERROR(__xludf.DUMMYFUNCTION("IMPORTRANGE(""https://docs.google.com/spreadsheets/d/11923uPwbBZFjjGgGUA6NLw09EwE0CqkOc4q9oUmW1yo/edit?usp=sharing"",""แม่ฮ่องสอน!M338"")"),5865)</f>
        <v>5865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IFERROR(__xludf.DUMMYFUNCTION("IMPORTRANGE(""https://docs.google.com/spreadsheets/d/11923uPwbBZFjjGgGUA6NLw09EwE0CqkOc4q9oUmW1yo/edit?usp=sharing"",""แม่ฮ่องสอน!J340"")"),0)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IFERROR(__xludf.DUMMYFUNCTION("IMPORTRANGE(""https://docs.google.com/spreadsheets/d/11923uPwbBZFjjGgGUA6NLw09EwE0CqkOc4q9oUmW1yo/edit?usp=sharing"",""แม่ฮ่องสอน!J341"")"),1)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IFERROR(__xludf.DUMMYFUNCTION("IMPORTRANGE(""https://docs.google.com/spreadsheets/d/11923uPwbBZFjjGgGUA6NLw09EwE0CqkOc4q9oUmW1yo/edit?usp=sharing"",""แม่ฮ่องสอน!J342"")"),1)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IFERROR(__xludf.DUMMYFUNCTION("IMPORTRANGE(""https://docs.google.com/spreadsheets/d/11923uPwbBZFjjGgGUA6NLw09EwE0CqkOc4q9oUmW1yo/edit?usp=sharing"",""แม่ฮ่องสอน!J343"")"),1)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IFERROR(__xludf.DUMMYFUNCTION("IMPORTRANGE(""https://docs.google.com/spreadsheets/d/11923uPwbBZFjjGgGUA6NLw09EwE0CqkOc4q9oUmW1yo/edit?usp=sharing"",""แม่ฮ่องสอน!I344"")"),20)</f>
        <v>20</v>
      </c>
      <c r="J449" s="210">
        <f ca="1">IFERROR(__xludf.DUMMYFUNCTION("IMPORTRANGE(""https://docs.google.com/spreadsheets/d/11923uPwbBZFjjGgGUA6NLw09EwE0CqkOc4q9oUmW1yo/edit?usp=sharing"",""แม่ฮ่องสอน!J344"")"),20)</f>
        <v>20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IFERROR(__xludf.DUMMYFUNCTION("IMPORTRANGE(""https://docs.google.com/spreadsheets/d/11923uPwbBZFjjGgGUA6NLw09EwE0CqkOc4q9oUmW1yo/edit?usp=sharing"",""แม่ฮ่องสอน!I345"")"),20)</f>
        <v>20</v>
      </c>
      <c r="J450" s="198">
        <f ca="1">IFERROR(__xludf.DUMMYFUNCTION("IMPORTRANGE(""https://docs.google.com/spreadsheets/d/11923uPwbBZFjjGgGUA6NLw09EwE0CqkOc4q9oUmW1yo/edit?usp=sharing"",""แม่ฮ่องสอน!J345"")"),20)</f>
        <v>20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IFERROR(__xludf.DUMMYFUNCTION("IMPORTRANGE(""https://docs.google.com/spreadsheets/d/11923uPwbBZFjjGgGUA6NLw09EwE0CqkOc4q9oUmW1yo/edit?usp=sharing"",""แม่ฮ่องสอน!I346"")"),0)</f>
        <v>0</v>
      </c>
      <c r="J451" s="197">
        <f ca="1">IFERROR(__xludf.DUMMYFUNCTION("IMPORTRANGE(""https://docs.google.com/spreadsheets/d/11923uPwbBZFjjGgGUA6NLw09EwE0CqkOc4q9oUmW1yo/edit?usp=sharing"",""แม่ฮ่องสอน!J346"")"),0)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IFERROR(__xludf.DUMMYFUNCTION("IMPORTRANGE(""https://docs.google.com/spreadsheets/d/11923uPwbBZFjjGgGUA6NLw09EwE0CqkOc4q9oUmW1yo/edit?usp=sharing"",""แม่ฮ่องสอน!I347"")"),0)</f>
        <v>0</v>
      </c>
      <c r="J452" s="197">
        <f ca="1">IFERROR(__xludf.DUMMYFUNCTION("IMPORTRANGE(""https://docs.google.com/spreadsheets/d/11923uPwbBZFjjGgGUA6NLw09EwE0CqkOc4q9oUmW1yo/edit?usp=sharing"",""แม่ฮ่องสอน!J347"")"),0)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IFERROR(__xludf.DUMMYFUNCTION("IMPORTRANGE(""https://docs.google.com/spreadsheets/d/11923uPwbBZFjjGgGUA6NLw09EwE0CqkOc4q9oUmW1yo/edit?usp=sharing"",""แม่ฮ่องสอน!J348"")"),1)</f>
        <v>1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IFERROR(__xludf.DUMMYFUNCTION("IMPORTRANGE(""https://docs.google.com/spreadsheets/d/11923uPwbBZFjjGgGUA6NLw09EwE0CqkOc4q9oUmW1yo/edit?usp=sharing"",""แม่ฮ่องสอน!J349"")"),0)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IFERROR(__xludf.DUMMYFUNCTION("IMPORTRANGE(""https://docs.google.com/spreadsheets/d/11923uPwbBZFjjGgGUA6NLw09EwE0CqkOc4q9oUmW1yo/edit?usp=sharing"",""แม่ฮ่องสอน!I350"")"),4118)</f>
        <v>4118</v>
      </c>
      <c r="J455" s="379">
        <f ca="1">IFERROR(__xludf.DUMMYFUNCTION("IMPORTRANGE(""https://docs.google.com/spreadsheets/d/11923uPwbBZFjjGgGUA6NLw09EwE0CqkOc4q9oUmW1yo/edit?usp=sharing"",""แม่ฮ่องสอน!J350"")"),4665)</f>
        <v>4665</v>
      </c>
      <c r="K455" s="380">
        <f ca="1">IF(I455&gt;0,J455*100/I455,0)</f>
        <v>113.28314715881496</v>
      </c>
      <c r="L455" s="381">
        <f ca="1">IFERROR(__xludf.DUMMYFUNCTION("IMPORTRANGE(""https://docs.google.com/spreadsheets/d/11923uPwbBZFjjGgGUA6NLw09EwE0CqkOc4q9oUmW1yo/edit?usp=sharing"",""แม่ฮ่องสอน!L350"")"),96393)</f>
        <v>96393</v>
      </c>
      <c r="M455" s="381"/>
      <c r="N455" s="381">
        <f ca="1">IFERROR(__xludf.DUMMYFUNCTION("IMPORTRANGE(""https://docs.google.com/spreadsheets/d/11923uPwbBZFjjGgGUA6NLw09EwE0CqkOc4q9oUmW1yo/edit?usp=sharing"",""แม่ฮ่องสอน!M350"")"),39095)</f>
        <v>39095</v>
      </c>
      <c r="O455" s="381">
        <f t="shared" ref="O455:O459" ca="1" si="116">+IF(L455&gt;0,N455*100/L455,0)</f>
        <v>40.557924330604919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IFERROR(__xludf.DUMMYFUNCTION("IMPORTRANGE(""https://docs.google.com/spreadsheets/d/11923uPwbBZFjjGgGUA6NLw09EwE0CqkOc4q9oUmW1yo/edit?usp=sharing"",""แม่ฮ่องสอน!L351"")"),0)</f>
        <v>0</v>
      </c>
      <c r="M456" s="172"/>
      <c r="N456" s="178">
        <f ca="1">IFERROR(__xludf.DUMMYFUNCTION("IMPORTRANGE(""https://docs.google.com/spreadsheets/d/11923uPwbBZFjjGgGUA6NLw09EwE0CqkOc4q9oUmW1yo/edit?usp=sharing"",""แม่ฮ่องสอน!M351"")"),0)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IFERROR(__xludf.DUMMYFUNCTION("IMPORTRANGE(""https://docs.google.com/spreadsheets/d/11923uPwbBZFjjGgGUA6NLw09EwE0CqkOc4q9oUmW1yo/edit?usp=sharing"",""แม่ฮ่องสอน!L352"")"),96393)</f>
        <v>96393</v>
      </c>
      <c r="M457" s="173"/>
      <c r="N457" s="178">
        <f ca="1">IFERROR(__xludf.DUMMYFUNCTION("IMPORTRANGE(""https://docs.google.com/spreadsheets/d/11923uPwbBZFjjGgGUA6NLw09EwE0CqkOc4q9oUmW1yo/edit?usp=sharing"",""แม่ฮ่องสอน!M352"")"),39095)</f>
        <v>39095</v>
      </c>
      <c r="O457" s="178">
        <f t="shared" ca="1" si="116"/>
        <v>40.557924330604919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IFERROR(__xludf.DUMMYFUNCTION("IMPORTRANGE(""https://docs.google.com/spreadsheets/d/11923uPwbBZFjjGgGUA6NLw09EwE0CqkOc4q9oUmW1yo/edit?usp=sharing"",""แม่ฮ่องสอน!L353"")"),0)</f>
        <v>0</v>
      </c>
      <c r="M458" s="178"/>
      <c r="N458" s="178">
        <f ca="1">IFERROR(__xludf.DUMMYFUNCTION("IMPORTRANGE(""https://docs.google.com/spreadsheets/d/11923uPwbBZFjjGgGUA6NLw09EwE0CqkOc4q9oUmW1yo/edit?usp=sharing"",""แม่ฮ่องสอน!M353"")"),0)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IFERROR(__xludf.DUMMYFUNCTION("IMPORTRANGE(""https://docs.google.com/spreadsheets/d/11923uPwbBZFjjGgGUA6NLw09EwE0CqkOc4q9oUmW1yo/edit?usp=sharing"",""แม่ฮ่องสอน!L354"")"),96393)</f>
        <v>96393</v>
      </c>
      <c r="M459" s="178"/>
      <c r="N459" s="178">
        <f ca="1">IFERROR(__xludf.DUMMYFUNCTION("IMPORTRANGE(""https://docs.google.com/spreadsheets/d/11923uPwbBZFjjGgGUA6NLw09EwE0CqkOc4q9oUmW1yo/edit?usp=sharing"",""แม่ฮ่องสอน!M354"")"),39095)</f>
        <v>39095</v>
      </c>
      <c r="O459" s="178">
        <f t="shared" ca="1" si="116"/>
        <v>40.557924330604919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IFERROR(__xludf.DUMMYFUNCTION("IMPORTRANGE(""https://docs.google.com/spreadsheets/d/11923uPwbBZFjjGgGUA6NLw09EwE0CqkOc4q9oUmW1yo/edit?usp=sharing"",""แม่ฮ่องสอน!M355"")"),0)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IFERROR(__xludf.DUMMYFUNCTION("IMPORTRANGE(""https://docs.google.com/spreadsheets/d/11923uPwbBZFjjGgGUA6NLw09EwE0CqkOc4q9oUmW1yo/edit?usp=sharing"",""แม่ฮ่องสอน!M356"")"),0)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IFERROR(__xludf.DUMMYFUNCTION("IMPORTRANGE(""https://docs.google.com/spreadsheets/d/11923uPwbBZFjjGgGUA6NLw09EwE0CqkOc4q9oUmW1yo/edit?usp=sharing"",""แม่ฮ่องสอน!M357"")"),0)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IFERROR(__xludf.DUMMYFUNCTION("IMPORTRANGE(""https://docs.google.com/spreadsheets/d/11923uPwbBZFjjGgGUA6NLw09EwE0CqkOc4q9oUmW1yo/edit?usp=sharing"",""แม่ฮ่องสอน!M358"")"),39095)</f>
        <v>39095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IFERROR(__xludf.DUMMYFUNCTION("IMPORTRANGE(""https://docs.google.com/spreadsheets/d/11923uPwbBZFjjGgGUA6NLw09EwE0CqkOc4q9oUmW1yo/edit?usp=sharing"",""แม่ฮ่องสอน!I359"")"),4118)</f>
        <v>4118</v>
      </c>
      <c r="J464" s="276">
        <f ca="1">IFERROR(__xludf.DUMMYFUNCTION("IMPORTRANGE(""https://docs.google.com/spreadsheets/d/11923uPwbBZFjjGgGUA6NLw09EwE0CqkOc4q9oUmW1yo/edit?usp=sharing"",""แม่ฮ่องสอน!J359"")"),4665)</f>
        <v>4665</v>
      </c>
      <c r="K464" s="277">
        <f t="shared" ref="K464:K515" ca="1" si="117">IF(I464&gt;0,J464*100/I464,0)</f>
        <v>113.28314715881496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IFERROR(__xludf.DUMMYFUNCTION("IMPORTRANGE(""https://docs.google.com/spreadsheets/d/11923uPwbBZFjjGgGUA6NLw09EwE0CqkOc4q9oUmW1yo/edit?usp=sharing"",""แม่ฮ่องสอน!I360"")"),4118)</f>
        <v>4118</v>
      </c>
      <c r="J465" s="428">
        <f ca="1">IFERROR(__xludf.DUMMYFUNCTION("IMPORTRANGE(""https://docs.google.com/spreadsheets/d/11923uPwbBZFjjGgGUA6NLw09EwE0CqkOc4q9oUmW1yo/edit?usp=sharing"",""แม่ฮ่องสอน!J360"")"),4665)</f>
        <v>4665</v>
      </c>
      <c r="K465" s="211">
        <f t="shared" ca="1" si="117"/>
        <v>113.28314715881496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IFERROR(__xludf.DUMMYFUNCTION("IMPORTRANGE(""https://docs.google.com/spreadsheets/d/11923uPwbBZFjjGgGUA6NLw09EwE0CqkOc4q9oUmW1yo/edit?usp=sharing"",""แม่ฮ่องสอน!I361"")"),1134)</f>
        <v>1134</v>
      </c>
      <c r="J466" s="428">
        <f ca="1">IFERROR(__xludf.DUMMYFUNCTION("IMPORTRANGE(""https://docs.google.com/spreadsheets/d/11923uPwbBZFjjGgGUA6NLw09EwE0CqkOc4q9oUmW1yo/edit?usp=sharing"",""แม่ฮ่องสอน!J361"")"),1134)</f>
        <v>1134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IFERROR(__xludf.DUMMYFUNCTION("IMPORTRANGE(""https://docs.google.com/spreadsheets/d/11923uPwbBZFjjGgGUA6NLw09EwE0CqkOc4q9oUmW1yo/edit?usp=sharing"",""แม่ฮ่องสอน!I362"")"),0)</f>
        <v>0</v>
      </c>
      <c r="J467" s="198">
        <f ca="1">IFERROR(__xludf.DUMMYFUNCTION("IMPORTRANGE(""https://docs.google.com/spreadsheets/d/11923uPwbBZFjjGgGUA6NLw09EwE0CqkOc4q9oUmW1yo/edit?usp=sharing"",""แม่ฮ่องสอน!J362"")"),4581)</f>
        <v>4581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IFERROR(__xludf.DUMMYFUNCTION("IMPORTRANGE(""https://docs.google.com/spreadsheets/d/11923uPwbBZFjjGgGUA6NLw09EwE0CqkOc4q9oUmW1yo/edit?usp=sharing"",""แม่ฮ่องสอน!I363"")"),0)</f>
        <v>0</v>
      </c>
      <c r="J468" s="198">
        <f ca="1">IFERROR(__xludf.DUMMYFUNCTION("IMPORTRANGE(""https://docs.google.com/spreadsheets/d/11923uPwbBZFjjGgGUA6NLw09EwE0CqkOc4q9oUmW1yo/edit?usp=sharing"",""แม่ฮ่องสอน!J363"")"),1123)</f>
        <v>1123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IFERROR(__xludf.DUMMYFUNCTION("IMPORTRANGE(""https://docs.google.com/spreadsheets/d/11923uPwbBZFjjGgGUA6NLw09EwE0CqkOc4q9oUmW1yo/edit?usp=sharing"",""แม่ฮ่องสอน!I364"")"),0)</f>
        <v>0</v>
      </c>
      <c r="J469" s="198">
        <f ca="1">IFERROR(__xludf.DUMMYFUNCTION("IMPORTRANGE(""https://docs.google.com/spreadsheets/d/11923uPwbBZFjjGgGUA6NLw09EwE0CqkOc4q9oUmW1yo/edit?usp=sharing"",""แม่ฮ่องสอน!J364"")"),66)</f>
        <v>66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IFERROR(__xludf.DUMMYFUNCTION("IMPORTRANGE(""https://docs.google.com/spreadsheets/d/11923uPwbBZFjjGgGUA6NLw09EwE0CqkOc4q9oUmW1yo/edit?usp=sharing"",""แม่ฮ่องสอน!I365"")"),0)</f>
        <v>0</v>
      </c>
      <c r="J470" s="198">
        <f ca="1">IFERROR(__xludf.DUMMYFUNCTION("IMPORTRANGE(""https://docs.google.com/spreadsheets/d/11923uPwbBZFjjGgGUA6NLw09EwE0CqkOc4q9oUmW1yo/edit?usp=sharing"",""แม่ฮ่องสอน!J365"")"),7)</f>
        <v>7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IFERROR(__xludf.DUMMYFUNCTION("IMPORTRANGE(""https://docs.google.com/spreadsheets/d/11923uPwbBZFjjGgGUA6NLw09EwE0CqkOc4q9oUmW1yo/edit?usp=sharing"",""แม่ฮ่องสอน!I366"")"),0)</f>
        <v>0</v>
      </c>
      <c r="J471" s="198">
        <f ca="1">IFERROR(__xludf.DUMMYFUNCTION("IMPORTRANGE(""https://docs.google.com/spreadsheets/d/11923uPwbBZFjjGgGUA6NLw09EwE0CqkOc4q9oUmW1yo/edit?usp=sharing"",""แม่ฮ่องสอน!J366"")"),18)</f>
        <v>18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IFERROR(__xludf.DUMMYFUNCTION("IMPORTRANGE(""https://docs.google.com/spreadsheets/d/11923uPwbBZFjjGgGUA6NLw09EwE0CqkOc4q9oUmW1yo/edit?usp=sharing"",""แม่ฮ่องสอน!I367"")"),0)</f>
        <v>0</v>
      </c>
      <c r="J472" s="198">
        <f ca="1">IFERROR(__xludf.DUMMYFUNCTION("IMPORTRANGE(""https://docs.google.com/spreadsheets/d/11923uPwbBZFjjGgGUA6NLw09EwE0CqkOc4q9oUmW1yo/edit?usp=sharing"",""แม่ฮ่องสอน!J367"")"),4)</f>
        <v>4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IFERROR(__xludf.DUMMYFUNCTION("IMPORTRANGE(""https://docs.google.com/spreadsheets/d/11923uPwbBZFjjGgGUA6NLw09EwE0CqkOc4q9oUmW1yo/edit?usp=sharing"",""แม่ฮ่องสอน!I368"")"),4118)</f>
        <v>4118</v>
      </c>
      <c r="J473" s="428">
        <f ca="1">IFERROR(__xludf.DUMMYFUNCTION("IMPORTRANGE(""https://docs.google.com/spreadsheets/d/11923uPwbBZFjjGgGUA6NLw09EwE0CqkOc4q9oUmW1yo/edit?usp=sharing"",""แม่ฮ่องสอน!J368"")"),4665)</f>
        <v>4665</v>
      </c>
      <c r="K473" s="211">
        <f t="shared" ca="1" si="117"/>
        <v>113.28314715881496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IFERROR(__xludf.DUMMYFUNCTION("IMPORTRANGE(""https://docs.google.com/spreadsheets/d/11923uPwbBZFjjGgGUA6NLw09EwE0CqkOc4q9oUmW1yo/edit?usp=sharing"",""แม่ฮ่องสอน!I369"")"),1134)</f>
        <v>1134</v>
      </c>
      <c r="J474" s="428">
        <f ca="1">IFERROR(__xludf.DUMMYFUNCTION("IMPORTRANGE(""https://docs.google.com/spreadsheets/d/11923uPwbBZFjjGgGUA6NLw09EwE0CqkOc4q9oUmW1yo/edit?usp=sharing"",""แม่ฮ่องสอน!J369"")"),1134)</f>
        <v>1134</v>
      </c>
      <c r="K474" s="171">
        <f t="shared" ca="1" si="117"/>
        <v>100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IFERROR(__xludf.DUMMYFUNCTION("IMPORTRANGE(""https://docs.google.com/spreadsheets/d/11923uPwbBZFjjGgGUA6NLw09EwE0CqkOc4q9oUmW1yo/edit?usp=sharing"",""แม่ฮ่องสอน!I370"")"),0)</f>
        <v>0</v>
      </c>
      <c r="J475" s="198">
        <f ca="1">IFERROR(__xludf.DUMMYFUNCTION("IMPORTRANGE(""https://docs.google.com/spreadsheets/d/11923uPwbBZFjjGgGUA6NLw09EwE0CqkOc4q9oUmW1yo/edit?usp=sharing"",""แม่ฮ่องสอน!J370"")"),4634)</f>
        <v>4634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IFERROR(__xludf.DUMMYFUNCTION("IMPORTRANGE(""https://docs.google.com/spreadsheets/d/11923uPwbBZFjjGgGUA6NLw09EwE0CqkOc4q9oUmW1yo/edit?usp=sharing"",""แม่ฮ่องสอน!I371"")"),0)</f>
        <v>0</v>
      </c>
      <c r="J476" s="198">
        <f ca="1">IFERROR(__xludf.DUMMYFUNCTION("IMPORTRANGE(""https://docs.google.com/spreadsheets/d/11923uPwbBZFjjGgGUA6NLw09EwE0CqkOc4q9oUmW1yo/edit?usp=sharing"",""แม่ฮ่องสอน!J371"")"),1122)</f>
        <v>1122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IFERROR(__xludf.DUMMYFUNCTION("IMPORTRANGE(""https://docs.google.com/spreadsheets/d/11923uPwbBZFjjGgGUA6NLw09EwE0CqkOc4q9oUmW1yo/edit?usp=sharing"",""แม่ฮ่องสอน!I372"")"),0)</f>
        <v>0</v>
      </c>
      <c r="J477" s="198">
        <f ca="1">IFERROR(__xludf.DUMMYFUNCTION("IMPORTRANGE(""https://docs.google.com/spreadsheets/d/11923uPwbBZFjjGgGUA6NLw09EwE0CqkOc4q9oUmW1yo/edit?usp=sharing"",""แม่ฮ่องสอน!J372"")"),13)</f>
        <v>13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IFERROR(__xludf.DUMMYFUNCTION("IMPORTRANGE(""https://docs.google.com/spreadsheets/d/11923uPwbBZFjjGgGUA6NLw09EwE0CqkOc4q9oUmW1yo/edit?usp=sharing"",""แม่ฮ่องสอน!I373"")"),0)</f>
        <v>0</v>
      </c>
      <c r="J478" s="198">
        <f ca="1">IFERROR(__xludf.DUMMYFUNCTION("IMPORTRANGE(""https://docs.google.com/spreadsheets/d/11923uPwbBZFjjGgGUA6NLw09EwE0CqkOc4q9oUmW1yo/edit?usp=sharing"",""แม่ฮ่องสอน!J373"")"),8)</f>
        <v>8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IFERROR(__xludf.DUMMYFUNCTION("IMPORTRANGE(""https://docs.google.com/spreadsheets/d/11923uPwbBZFjjGgGUA6NLw09EwE0CqkOc4q9oUmW1yo/edit?usp=sharing"",""แม่ฮ่องสอน!I374"")"),0)</f>
        <v>0</v>
      </c>
      <c r="J479" s="198">
        <f ca="1">IFERROR(__xludf.DUMMYFUNCTION("IMPORTRANGE(""https://docs.google.com/spreadsheets/d/11923uPwbBZFjjGgGUA6NLw09EwE0CqkOc4q9oUmW1yo/edit?usp=sharing"",""แม่ฮ่องสอน!J374"")"),18)</f>
        <v>18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IFERROR(__xludf.DUMMYFUNCTION("IMPORTRANGE(""https://docs.google.com/spreadsheets/d/11923uPwbBZFjjGgGUA6NLw09EwE0CqkOc4q9oUmW1yo/edit?usp=sharing"",""แม่ฮ่องสอน!I375"")"),0)</f>
        <v>0</v>
      </c>
      <c r="J480" s="198">
        <f ca="1">IFERROR(__xludf.DUMMYFUNCTION("IMPORTRANGE(""https://docs.google.com/spreadsheets/d/11923uPwbBZFjjGgGUA6NLw09EwE0CqkOc4q9oUmW1yo/edit?usp=sharing"",""แม่ฮ่องสอน!J375"")"),4)</f>
        <v>4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IFERROR(__xludf.DUMMYFUNCTION("IMPORTRANGE(""https://docs.google.com/spreadsheets/d/11923uPwbBZFjjGgGUA6NLw09EwE0CqkOc4q9oUmW1yo/edit?usp=sharing"",""แม่ฮ่องสอน!I376"")"),4118)</f>
        <v>4118</v>
      </c>
      <c r="J481" s="428">
        <f ca="1">IFERROR(__xludf.DUMMYFUNCTION("IMPORTRANGE(""https://docs.google.com/spreadsheets/d/11923uPwbBZFjjGgGUA6NLw09EwE0CqkOc4q9oUmW1yo/edit?usp=sharing"",""แม่ฮ่องสอน!J376"")"),4665)</f>
        <v>4665</v>
      </c>
      <c r="K481" s="211">
        <f t="shared" ca="1" si="117"/>
        <v>113.28314715881496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IFERROR(__xludf.DUMMYFUNCTION("IMPORTRANGE(""https://docs.google.com/spreadsheets/d/11923uPwbBZFjjGgGUA6NLw09EwE0CqkOc4q9oUmW1yo/edit?usp=sharing"",""แม่ฮ่องสอน!I377"")"),1134)</f>
        <v>1134</v>
      </c>
      <c r="J482" s="428">
        <f ca="1">IFERROR(__xludf.DUMMYFUNCTION("IMPORTRANGE(""https://docs.google.com/spreadsheets/d/11923uPwbBZFjjGgGUA6NLw09EwE0CqkOc4q9oUmW1yo/edit?usp=sharing"",""แม่ฮ่องสอน!J377"")"),1134)</f>
        <v>1134</v>
      </c>
      <c r="K482" s="171">
        <f t="shared" ca="1" si="117"/>
        <v>100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IFERROR(__xludf.DUMMYFUNCTION("IMPORTRANGE(""https://docs.google.com/spreadsheets/d/11923uPwbBZFjjGgGUA6NLw09EwE0CqkOc4q9oUmW1yo/edit?usp=sharing"",""แม่ฮ่องสอน!I378"")"),0)</f>
        <v>0</v>
      </c>
      <c r="J483" s="198">
        <f ca="1">IFERROR(__xludf.DUMMYFUNCTION("IMPORTRANGE(""https://docs.google.com/spreadsheets/d/11923uPwbBZFjjGgGUA6NLw09EwE0CqkOc4q9oUmW1yo/edit?usp=sharing"",""แม่ฮ่องสอน!J378"")"),4634)</f>
        <v>4634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IFERROR(__xludf.DUMMYFUNCTION("IMPORTRANGE(""https://docs.google.com/spreadsheets/d/11923uPwbBZFjjGgGUA6NLw09EwE0CqkOc4q9oUmW1yo/edit?usp=sharing"",""แม่ฮ่องสอน!I379"")"),0)</f>
        <v>0</v>
      </c>
      <c r="J484" s="198">
        <f ca="1">IFERROR(__xludf.DUMMYFUNCTION("IMPORTRANGE(""https://docs.google.com/spreadsheets/d/11923uPwbBZFjjGgGUA6NLw09EwE0CqkOc4q9oUmW1yo/edit?usp=sharing"",""แม่ฮ่องสอน!J379"")"),1122)</f>
        <v>1122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IFERROR(__xludf.DUMMYFUNCTION("IMPORTRANGE(""https://docs.google.com/spreadsheets/d/11923uPwbBZFjjGgGUA6NLw09EwE0CqkOc4q9oUmW1yo/edit?usp=sharing"",""แม่ฮ่องสอน!I380"")"),0)</f>
        <v>0</v>
      </c>
      <c r="J485" s="198">
        <f ca="1">IFERROR(__xludf.DUMMYFUNCTION("IMPORTRANGE(""https://docs.google.com/spreadsheets/d/11923uPwbBZFjjGgGUA6NLw09EwE0CqkOc4q9oUmW1yo/edit?usp=sharing"",""แม่ฮ่องสอน!J380"")"),13)</f>
        <v>13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IFERROR(__xludf.DUMMYFUNCTION("IMPORTRANGE(""https://docs.google.com/spreadsheets/d/11923uPwbBZFjjGgGUA6NLw09EwE0CqkOc4q9oUmW1yo/edit?usp=sharing"",""แม่ฮ่องสอน!I381"")"),0)</f>
        <v>0</v>
      </c>
      <c r="J486" s="198">
        <f ca="1">IFERROR(__xludf.DUMMYFUNCTION("IMPORTRANGE(""https://docs.google.com/spreadsheets/d/11923uPwbBZFjjGgGUA6NLw09EwE0CqkOc4q9oUmW1yo/edit?usp=sharing"",""แม่ฮ่องสอน!J381"")"),8)</f>
        <v>8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IFERROR(__xludf.DUMMYFUNCTION("IMPORTRANGE(""https://docs.google.com/spreadsheets/d/11923uPwbBZFjjGgGUA6NLw09EwE0CqkOc4q9oUmW1yo/edit?usp=sharing"",""แม่ฮ่องสอน!I382"")"),0)</f>
        <v>0</v>
      </c>
      <c r="J487" s="428">
        <f ca="1">IFERROR(__xludf.DUMMYFUNCTION("IMPORTRANGE(""https://docs.google.com/spreadsheets/d/11923uPwbBZFjjGgGUA6NLw09EwE0CqkOc4q9oUmW1yo/edit?usp=sharing"",""แม่ฮ่องสอน!J382"")"),18)</f>
        <v>18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IFERROR(__xludf.DUMMYFUNCTION("IMPORTRANGE(""https://docs.google.com/spreadsheets/d/11923uPwbBZFjjGgGUA6NLw09EwE0CqkOc4q9oUmW1yo/edit?usp=sharing"",""แม่ฮ่องสอน!I383"")"),0)</f>
        <v>0</v>
      </c>
      <c r="J488" s="428">
        <f ca="1">IFERROR(__xludf.DUMMYFUNCTION("IMPORTRANGE(""https://docs.google.com/spreadsheets/d/11923uPwbBZFjjGgGUA6NLw09EwE0CqkOc4q9oUmW1yo/edit?usp=sharing"",""แม่ฮ่องสอน!J383"")"),4)</f>
        <v>4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IFERROR(__xludf.DUMMYFUNCTION("IMPORTRANGE(""https://docs.google.com/spreadsheets/d/11923uPwbBZFjjGgGUA6NLw09EwE0CqkOc4q9oUmW1yo/edit?usp=sharing"",""แม่ฮ่องสอน!I384"")"),0)</f>
        <v>0</v>
      </c>
      <c r="J489" s="198">
        <f ca="1">IFERROR(__xludf.DUMMYFUNCTION("IMPORTRANGE(""https://docs.google.com/spreadsheets/d/11923uPwbBZFjjGgGUA6NLw09EwE0CqkOc4q9oUmW1yo/edit?usp=sharing"",""แม่ฮ่องสอน!J384"")"),18)</f>
        <v>18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IFERROR(__xludf.DUMMYFUNCTION("IMPORTRANGE(""https://docs.google.com/spreadsheets/d/11923uPwbBZFjjGgGUA6NLw09EwE0CqkOc4q9oUmW1yo/edit?usp=sharing"",""แม่ฮ่องสอน!I385"")"),0)</f>
        <v>0</v>
      </c>
      <c r="J490" s="198">
        <f ca="1">IFERROR(__xludf.DUMMYFUNCTION("IMPORTRANGE(""https://docs.google.com/spreadsheets/d/11923uPwbBZFjjGgGUA6NLw09EwE0CqkOc4q9oUmW1yo/edit?usp=sharing"",""แม่ฮ่องสอน!J385"")"),4)</f>
        <v>4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IFERROR(__xludf.DUMMYFUNCTION("IMPORTRANGE(""https://docs.google.com/spreadsheets/d/11923uPwbBZFjjGgGUA6NLw09EwE0CqkOc4q9oUmW1yo/edit?usp=sharing"",""แม่ฮ่องสอน!I386"")"),0)</f>
        <v>0</v>
      </c>
      <c r="J491" s="198">
        <f ca="1">IFERROR(__xludf.DUMMYFUNCTION("IMPORTRANGE(""https://docs.google.com/spreadsheets/d/11923uPwbBZFjjGgGUA6NLw09EwE0CqkOc4q9oUmW1yo/edit?usp=sharing"",""แม่ฮ่องสอน!J386"")"),0)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IFERROR(__xludf.DUMMYFUNCTION("IMPORTRANGE(""https://docs.google.com/spreadsheets/d/11923uPwbBZFjjGgGUA6NLw09EwE0CqkOc4q9oUmW1yo/edit?usp=sharing"",""แม่ฮ่องสอน!I387"")"),0)</f>
        <v>0</v>
      </c>
      <c r="J492" s="198">
        <f ca="1">IFERROR(__xludf.DUMMYFUNCTION("IMPORTRANGE(""https://docs.google.com/spreadsheets/d/11923uPwbBZFjjGgGUA6NLw09EwE0CqkOc4q9oUmW1yo/edit?usp=sharing"",""แม่ฮ่องสอน!J387"")"),0)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IFERROR(__xludf.DUMMYFUNCTION("IMPORTRANGE(""https://docs.google.com/spreadsheets/d/11923uPwbBZFjjGgGUA6NLw09EwE0CqkOc4q9oUmW1yo/edit?usp=sharing"",""แม่ฮ่องสอน!I388"")"),0)</f>
        <v>0</v>
      </c>
      <c r="J493" s="198">
        <f ca="1">IFERROR(__xludf.DUMMYFUNCTION("IMPORTRANGE(""https://docs.google.com/spreadsheets/d/11923uPwbBZFjjGgGUA6NLw09EwE0CqkOc4q9oUmW1yo/edit?usp=sharing"",""แม่ฮ่องสอน!J388"")"),0)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IFERROR(__xludf.DUMMYFUNCTION("IMPORTRANGE(""https://docs.google.com/spreadsheets/d/11923uPwbBZFjjGgGUA6NLw09EwE0CqkOc4q9oUmW1yo/edit?usp=sharing"",""แม่ฮ่องสอน!I389"")"),0)</f>
        <v>0</v>
      </c>
      <c r="J494" s="444">
        <f ca="1">IFERROR(__xludf.DUMMYFUNCTION("IMPORTRANGE(""https://docs.google.com/spreadsheets/d/11923uPwbBZFjjGgGUA6NLw09EwE0CqkOc4q9oUmW1yo/edit?usp=sharing"",""แม่ฮ่องสอน!J389"")"),0)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IFERROR(__xludf.DUMMYFUNCTION("IMPORTRANGE(""https://docs.google.com/spreadsheets/d/11923uPwbBZFjjGgGUA6NLw09EwE0CqkOc4q9oUmW1yo/edit?usp=sharing"",""แม่ฮ่องสอน!I390"")"),0)</f>
        <v>0</v>
      </c>
      <c r="J495" s="444">
        <f ca="1">IFERROR(__xludf.DUMMYFUNCTION("IMPORTRANGE(""https://docs.google.com/spreadsheets/d/11923uPwbBZFjjGgGUA6NLw09EwE0CqkOc4q9oUmW1yo/edit?usp=sharing"",""แม่ฮ่องสอน!J390"")"),0)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IFERROR(__xludf.DUMMYFUNCTION("IMPORTRANGE(""https://docs.google.com/spreadsheets/d/11923uPwbBZFjjGgGUA6NLw09EwE0CqkOc4q9oUmW1yo/edit?usp=sharing"",""แม่ฮ่องสอน!I391"")"),0)</f>
        <v>0</v>
      </c>
      <c r="J496" s="444">
        <f ca="1">IFERROR(__xludf.DUMMYFUNCTION("IMPORTRANGE(""https://docs.google.com/spreadsheets/d/11923uPwbBZFjjGgGUA6NLw09EwE0CqkOc4q9oUmW1yo/edit?usp=sharing"",""แม่ฮ่องสอน!J391"")"),0)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IFERROR(__xludf.DUMMYFUNCTION("IMPORTRANGE(""https://docs.google.com/spreadsheets/d/11923uPwbBZFjjGgGUA6NLw09EwE0CqkOc4q9oUmW1yo/edit?usp=sharing"",""แม่ฮ่องสอน!I392"")"),21)</f>
        <v>21</v>
      </c>
      <c r="J497" s="451">
        <f ca="1">IFERROR(__xludf.DUMMYFUNCTION("IMPORTRANGE(""https://docs.google.com/spreadsheets/d/11923uPwbBZFjjGgGUA6NLw09EwE0CqkOc4q9oUmW1yo/edit?usp=sharing"",""แม่ฮ่องสอน!J392"")"),8.65)</f>
        <v>8.65</v>
      </c>
      <c r="K497" s="452">
        <f t="shared" ca="1" si="117"/>
        <v>41.19047619047619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IFERROR(__xludf.DUMMYFUNCTION("IMPORTRANGE(""https://docs.google.com/spreadsheets/d/11923uPwbBZFjjGgGUA6NLw09EwE0CqkOc4q9oUmW1yo/edit?usp=sharing"",""แม่ฮ่องสอน!I393"")"),21)</f>
        <v>21</v>
      </c>
      <c r="J498" s="428">
        <f ca="1">IFERROR(__xludf.DUMMYFUNCTION("IMPORTRANGE(""https://docs.google.com/spreadsheets/d/11923uPwbBZFjjGgGUA6NLw09EwE0CqkOc4q9oUmW1yo/edit?usp=sharing"",""แม่ฮ่องสอน!J393"")"),8.65)</f>
        <v>8.65</v>
      </c>
      <c r="K498" s="171">
        <f t="shared" ca="1" si="117"/>
        <v>41.19047619047619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IFERROR(__xludf.DUMMYFUNCTION("IMPORTRANGE(""https://docs.google.com/spreadsheets/d/11923uPwbBZFjjGgGUA6NLw09EwE0CqkOc4q9oUmW1yo/edit?usp=sharing"",""แม่ฮ่องสอน!I394"")"),7)</f>
        <v>7</v>
      </c>
      <c r="J499" s="428">
        <f ca="1">IFERROR(__xludf.DUMMYFUNCTION("IMPORTRANGE(""https://docs.google.com/spreadsheets/d/11923uPwbBZFjjGgGUA6NLw09EwE0CqkOc4q9oUmW1yo/edit?usp=sharing"",""แม่ฮ่องสอน!J394"")"),4)</f>
        <v>4</v>
      </c>
      <c r="K499" s="211">
        <f t="shared" ca="1" si="117"/>
        <v>57.142857142857146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IFERROR(__xludf.DUMMYFUNCTION("IMPORTRANGE(""https://docs.google.com/spreadsheets/d/11923uPwbBZFjjGgGUA6NLw09EwE0CqkOc4q9oUmW1yo/edit?usp=sharing"",""แม่ฮ่องสอน!I395"")"),0)</f>
        <v>0</v>
      </c>
      <c r="J500" s="170">
        <f ca="1">IFERROR(__xludf.DUMMYFUNCTION("IMPORTRANGE(""https://docs.google.com/spreadsheets/d/11923uPwbBZFjjGgGUA6NLw09EwE0CqkOc4q9oUmW1yo/edit?usp=sharing"",""แม่ฮ่องสอน!J395"")"),3.65)</f>
        <v>3.65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IFERROR(__xludf.DUMMYFUNCTION("IMPORTRANGE(""https://docs.google.com/spreadsheets/d/11923uPwbBZFjjGgGUA6NLw09EwE0CqkOc4q9oUmW1yo/edit?usp=sharing"",""แม่ฮ่องสอน!I396"")"),0)</f>
        <v>0</v>
      </c>
      <c r="J501" s="170">
        <f ca="1">IFERROR(__xludf.DUMMYFUNCTION("IMPORTRANGE(""https://docs.google.com/spreadsheets/d/11923uPwbBZFjjGgGUA6NLw09EwE0CqkOc4q9oUmW1yo/edit?usp=sharing"",""แม่ฮ่องสอน!J396"")"),1)</f>
        <v>1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IFERROR(__xludf.DUMMYFUNCTION("IMPORTRANGE(""https://docs.google.com/spreadsheets/d/11923uPwbBZFjjGgGUA6NLw09EwE0CqkOc4q9oUmW1yo/edit?usp=sharing"",""แม่ฮ่องสอน!I397"")"),0)</f>
        <v>0</v>
      </c>
      <c r="J502" s="198">
        <f ca="1">IFERROR(__xludf.DUMMYFUNCTION("IMPORTRANGE(""https://docs.google.com/spreadsheets/d/11923uPwbBZFjjGgGUA6NLw09EwE0CqkOc4q9oUmW1yo/edit?usp=sharing"",""แม่ฮ่องสอน!J397"")"),3.65)</f>
        <v>3.65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IFERROR(__xludf.DUMMYFUNCTION("IMPORTRANGE(""https://docs.google.com/spreadsheets/d/11923uPwbBZFjjGgGUA6NLw09EwE0CqkOc4q9oUmW1yo/edit?usp=sharing"",""แม่ฮ่องสอน!I398"")"),0)</f>
        <v>0</v>
      </c>
      <c r="J503" s="207">
        <f ca="1">IFERROR(__xludf.DUMMYFUNCTION("IMPORTRANGE(""https://docs.google.com/spreadsheets/d/11923uPwbBZFjjGgGUA6NLw09EwE0CqkOc4q9oUmW1yo/edit?usp=sharing"",""แม่ฮ่องสอน!J398"")"),1)</f>
        <v>1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IFERROR(__xludf.DUMMYFUNCTION("IMPORTRANGE(""https://docs.google.com/spreadsheets/d/11923uPwbBZFjjGgGUA6NLw09EwE0CqkOc4q9oUmW1yo/edit?usp=sharing"",""แม่ฮ่องสอน!I399"")"),0)</f>
        <v>0</v>
      </c>
      <c r="J504" s="198">
        <f ca="1">IFERROR(__xludf.DUMMYFUNCTION("IMPORTRANGE(""https://docs.google.com/spreadsheets/d/11923uPwbBZFjjGgGUA6NLw09EwE0CqkOc4q9oUmW1yo/edit?usp=sharing"",""แม่ฮ่องสอน!J399"")"),0)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IFERROR(__xludf.DUMMYFUNCTION("IMPORTRANGE(""https://docs.google.com/spreadsheets/d/11923uPwbBZFjjGgGUA6NLw09EwE0CqkOc4q9oUmW1yo/edit?usp=sharing"",""แม่ฮ่องสอน!I400"")"),0)</f>
        <v>0</v>
      </c>
      <c r="J505" s="207">
        <f ca="1">IFERROR(__xludf.DUMMYFUNCTION("IMPORTRANGE(""https://docs.google.com/spreadsheets/d/11923uPwbBZFjjGgGUA6NLw09EwE0CqkOc4q9oUmW1yo/edit?usp=sharing"",""แม่ฮ่องสอน!J400"")"),0)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IFERROR(__xludf.DUMMYFUNCTION("IMPORTRANGE(""https://docs.google.com/spreadsheets/d/11923uPwbBZFjjGgGUA6NLw09EwE0CqkOc4q9oUmW1yo/edit?usp=sharing"",""แม่ฮ่องสอน!I401"")"),0)</f>
        <v>0</v>
      </c>
      <c r="J506" s="198">
        <f ca="1">IFERROR(__xludf.DUMMYFUNCTION("IMPORTRANGE(""https://docs.google.com/spreadsheets/d/11923uPwbBZFjjGgGUA6NLw09EwE0CqkOc4q9oUmW1yo/edit?usp=sharing"",""แม่ฮ่องสอน!J401"")"),0)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IFERROR(__xludf.DUMMYFUNCTION("IMPORTRANGE(""https://docs.google.com/spreadsheets/d/11923uPwbBZFjjGgGUA6NLw09EwE0CqkOc4q9oUmW1yo/edit?usp=sharing"",""แม่ฮ่องสอน!I402"")"),0)</f>
        <v>0</v>
      </c>
      <c r="J507" s="207">
        <f ca="1">IFERROR(__xludf.DUMMYFUNCTION("IMPORTRANGE(""https://docs.google.com/spreadsheets/d/11923uPwbBZFjjGgGUA6NLw09EwE0CqkOc4q9oUmW1yo/edit?usp=sharing"",""แม่ฮ่องสอน!J402"")"),0)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IFERROR(__xludf.DUMMYFUNCTION("IMPORTRANGE(""https://docs.google.com/spreadsheets/d/11923uPwbBZFjjGgGUA6NLw09EwE0CqkOc4q9oUmW1yo/edit?usp=sharing"",""แม่ฮ่องสอน!I403"")"),0)</f>
        <v>0</v>
      </c>
      <c r="J508" s="170">
        <f ca="1">IFERROR(__xludf.DUMMYFUNCTION("IMPORTRANGE(""https://docs.google.com/spreadsheets/d/11923uPwbBZFjjGgGUA6NLw09EwE0CqkOc4q9oUmW1yo/edit?usp=sharing"",""แม่ฮ่องสอน!J403"")"),5)</f>
        <v>5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IFERROR(__xludf.DUMMYFUNCTION("IMPORTRANGE(""https://docs.google.com/spreadsheets/d/11923uPwbBZFjjGgGUA6NLw09EwE0CqkOc4q9oUmW1yo/edit?usp=sharing"",""แม่ฮ่องสอน!I404"")"),0)</f>
        <v>0</v>
      </c>
      <c r="J509" s="170">
        <f ca="1">IFERROR(__xludf.DUMMYFUNCTION("IMPORTRANGE(""https://docs.google.com/spreadsheets/d/11923uPwbBZFjjGgGUA6NLw09EwE0CqkOc4q9oUmW1yo/edit?usp=sharing"",""แม่ฮ่องสอน!J404"")"),3)</f>
        <v>3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IFERROR(__xludf.DUMMYFUNCTION("IMPORTRANGE(""https://docs.google.com/spreadsheets/d/11923uPwbBZFjjGgGUA6NLw09EwE0CqkOc4q9oUmW1yo/edit?usp=sharing"",""แม่ฮ่องสอน!I405"")"),0)</f>
        <v>0</v>
      </c>
      <c r="J510" s="207">
        <f ca="1">IFERROR(__xludf.DUMMYFUNCTION("IMPORTRANGE(""https://docs.google.com/spreadsheets/d/11923uPwbBZFjjGgGUA6NLw09EwE0CqkOc4q9oUmW1yo/edit?usp=sharing"",""แม่ฮ่องสอน!J405"")"),0)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IFERROR(__xludf.DUMMYFUNCTION("IMPORTRANGE(""https://docs.google.com/spreadsheets/d/11923uPwbBZFjjGgGUA6NLw09EwE0CqkOc4q9oUmW1yo/edit?usp=sharing"",""แม่ฮ่องสอน!I406"")"),0)</f>
        <v>0</v>
      </c>
      <c r="J511" s="207">
        <f ca="1">IFERROR(__xludf.DUMMYFUNCTION("IMPORTRANGE(""https://docs.google.com/spreadsheets/d/11923uPwbBZFjjGgGUA6NLw09EwE0CqkOc4q9oUmW1yo/edit?usp=sharing"",""แม่ฮ่องสอน!J406"")"),0)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IFERROR(__xludf.DUMMYFUNCTION("IMPORTRANGE(""https://docs.google.com/spreadsheets/d/11923uPwbBZFjjGgGUA6NLw09EwE0CqkOc4q9oUmW1yo/edit?usp=sharing"",""แม่ฮ่องสอน!I407"")"),0)</f>
        <v>0</v>
      </c>
      <c r="J512" s="207">
        <f ca="1">IFERROR(__xludf.DUMMYFUNCTION("IMPORTRANGE(""https://docs.google.com/spreadsheets/d/11923uPwbBZFjjGgGUA6NLw09EwE0CqkOc4q9oUmW1yo/edit?usp=sharing"",""แม่ฮ่องสอน!J407"")"),5)</f>
        <v>5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IFERROR(__xludf.DUMMYFUNCTION("IMPORTRANGE(""https://docs.google.com/spreadsheets/d/11923uPwbBZFjjGgGUA6NLw09EwE0CqkOc4q9oUmW1yo/edit?usp=sharing"",""แม่ฮ่องสอน!I408"")"),0)</f>
        <v>0</v>
      </c>
      <c r="J513" s="207">
        <f ca="1">IFERROR(__xludf.DUMMYFUNCTION("IMPORTRANGE(""https://docs.google.com/spreadsheets/d/11923uPwbBZFjjGgGUA6NLw09EwE0CqkOc4q9oUmW1yo/edit?usp=sharing"",""แม่ฮ่องสอน!J408"")"),3)</f>
        <v>3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IFERROR(__xludf.DUMMYFUNCTION("IMPORTRANGE(""https://docs.google.com/spreadsheets/d/11923uPwbBZFjjGgGUA6NLw09EwE0CqkOc4q9oUmW1yo/edit?usp=sharing"",""แม่ฮ่องสอน!I409"")"),0)</f>
        <v>0</v>
      </c>
      <c r="J514" s="207">
        <f ca="1">IFERROR(__xludf.DUMMYFUNCTION("IMPORTRANGE(""https://docs.google.com/spreadsheets/d/11923uPwbBZFjjGgGUA6NLw09EwE0CqkOc4q9oUmW1yo/edit?usp=sharing"",""แม่ฮ่องสอน!J409"")"),0)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IFERROR(__xludf.DUMMYFUNCTION("IMPORTRANGE(""https://docs.google.com/spreadsheets/d/11923uPwbBZFjjGgGUA6NLw09EwE0CqkOc4q9oUmW1yo/edit?usp=sharing"",""แม่ฮ่องสอน!I410"")"),0)</f>
        <v>0</v>
      </c>
      <c r="J515" s="207">
        <f ca="1">IFERROR(__xludf.DUMMYFUNCTION("IMPORTRANGE(""https://docs.google.com/spreadsheets/d/11923uPwbBZFjjGgGUA6NLw09EwE0CqkOc4q9oUmW1yo/edit?usp=sharing"",""แม่ฮ่องสอน!J410"")"),0)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IFERROR(__xludf.DUMMYFUNCTION("IMPORTRANGE(""https://docs.google.com/spreadsheets/d/11923uPwbBZFjjGgGUA6NLw09EwE0CqkOc4q9oUmW1yo/edit?usp=sharing"",""แม่ฮ่องสอน!I411"")"),0)</f>
        <v>0</v>
      </c>
      <c r="J516" s="276">
        <f ca="1">IFERROR(__xludf.DUMMYFUNCTION("IMPORTRANGE(""https://docs.google.com/spreadsheets/d/11923uPwbBZFjjGgGUA6NLw09EwE0CqkOc4q9oUmW1yo/edit?usp=sharing"",""แม่ฮ่องสอน!J411"")"),0)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IFERROR(__xludf.DUMMYFUNCTION("IMPORTRANGE(""https://docs.google.com/spreadsheets/d/11923uPwbBZFjjGgGUA6NLw09EwE0CqkOc4q9oUmW1yo/edit?usp=sharing"",""แม่ฮ่องสอน!I412"")"),0)</f>
        <v>0</v>
      </c>
      <c r="J517" s="292">
        <f ca="1">IFERROR(__xludf.DUMMYFUNCTION("IMPORTRANGE(""https://docs.google.com/spreadsheets/d/11923uPwbBZFjjGgGUA6NLw09EwE0CqkOc4q9oUmW1yo/edit?usp=sharing"",""แม่ฮ่องสอน!J412"")"),0)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IFERROR(__xludf.DUMMYFUNCTION("IMPORTRANGE(""https://docs.google.com/spreadsheets/d/11923uPwbBZFjjGgGUA6NLw09EwE0CqkOc4q9oUmW1yo/edit?usp=sharing"",""แม่ฮ่องสอน!I413"")"),0)</f>
        <v>0</v>
      </c>
      <c r="J518" s="292">
        <f ca="1">IFERROR(__xludf.DUMMYFUNCTION("IMPORTRANGE(""https://docs.google.com/spreadsheets/d/11923uPwbBZFjjGgGUA6NLw09EwE0CqkOc4q9oUmW1yo/edit?usp=sharing"",""แม่ฮ่องสอน!J413"")"),0)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IFERROR(__xludf.DUMMYFUNCTION("IMPORTRANGE(""https://docs.google.com/spreadsheets/d/11923uPwbBZFjjGgGUA6NLw09EwE0CqkOc4q9oUmW1yo/edit?usp=sharing"",""แม่ฮ่องสอน!I414"")"),0)</f>
        <v>0</v>
      </c>
      <c r="J519" s="197">
        <f ca="1">IFERROR(__xludf.DUMMYFUNCTION("IMPORTRANGE(""https://docs.google.com/spreadsheets/d/11923uPwbBZFjjGgGUA6NLw09EwE0CqkOc4q9oUmW1yo/edit?usp=sharing"",""แม่ฮ่องสอน!J414"")"),0)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IFERROR(__xludf.DUMMYFUNCTION("IMPORTRANGE(""https://docs.google.com/spreadsheets/d/11923uPwbBZFjjGgGUA6NLw09EwE0CqkOc4q9oUmW1yo/edit?usp=sharing"",""แม่ฮ่องสอน!I415"")"),0)</f>
        <v>0</v>
      </c>
      <c r="J520" s="197">
        <f ca="1">IFERROR(__xludf.DUMMYFUNCTION("IMPORTRANGE(""https://docs.google.com/spreadsheets/d/11923uPwbBZFjjGgGUA6NLw09EwE0CqkOc4q9oUmW1yo/edit?usp=sharing"",""แม่ฮ่องสอน!J415"")"),0)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IFERROR(__xludf.DUMMYFUNCTION("IMPORTRANGE(""https://docs.google.com/spreadsheets/d/11923uPwbBZFjjGgGUA6NLw09EwE0CqkOc4q9oUmW1yo/edit?usp=sharing"",""แม่ฮ่องสอน!I416"")"),0)</f>
        <v>0</v>
      </c>
      <c r="J521" s="197">
        <f ca="1">IFERROR(__xludf.DUMMYFUNCTION("IMPORTRANGE(""https://docs.google.com/spreadsheets/d/11923uPwbBZFjjGgGUA6NLw09EwE0CqkOc4q9oUmW1yo/edit?usp=sharing"",""แม่ฮ่องสอน!J416"")"),0)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IFERROR(__xludf.DUMMYFUNCTION("IMPORTRANGE(""https://docs.google.com/spreadsheets/d/11923uPwbBZFjjGgGUA6NLw09EwE0CqkOc4q9oUmW1yo/edit?usp=sharing"",""แม่ฮ่องสอน!I417"")"),0)</f>
        <v>0</v>
      </c>
      <c r="J522" s="197">
        <f ca="1">IFERROR(__xludf.DUMMYFUNCTION("IMPORTRANGE(""https://docs.google.com/spreadsheets/d/11923uPwbBZFjjGgGUA6NLw09EwE0CqkOc4q9oUmW1yo/edit?usp=sharing"",""แม่ฮ่องสอน!J417"")"),0)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IFERROR(__xludf.DUMMYFUNCTION("IMPORTRANGE(""https://docs.google.com/spreadsheets/d/11923uPwbBZFjjGgGUA6NLw09EwE0CqkOc4q9oUmW1yo/edit?usp=sharing"",""แม่ฮ่องสอน!I418"")"),0)</f>
        <v>0</v>
      </c>
      <c r="J523" s="197">
        <f ca="1">IFERROR(__xludf.DUMMYFUNCTION("IMPORTRANGE(""https://docs.google.com/spreadsheets/d/11923uPwbBZFjjGgGUA6NLw09EwE0CqkOc4q9oUmW1yo/edit?usp=sharing"",""แม่ฮ่องสอน!J418"")"),0)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IFERROR(__xludf.DUMMYFUNCTION("IMPORTRANGE(""https://docs.google.com/spreadsheets/d/11923uPwbBZFjjGgGUA6NLw09EwE0CqkOc4q9oUmW1yo/edit?usp=sharing"",""แม่ฮ่องสอน!I419"")"),0)</f>
        <v>0</v>
      </c>
      <c r="J524" s="197">
        <f ca="1">IFERROR(__xludf.DUMMYFUNCTION("IMPORTRANGE(""https://docs.google.com/spreadsheets/d/11923uPwbBZFjjGgGUA6NLw09EwE0CqkOc4q9oUmW1yo/edit?usp=sharing"",""แม่ฮ่องสอน!J419"")"),0)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IFERROR(__xludf.DUMMYFUNCTION("IMPORTRANGE(""https://docs.google.com/spreadsheets/d/11923uPwbBZFjjGgGUA6NLw09EwE0CqkOc4q9oUmW1yo/edit?usp=sharing"",""แม่ฮ่องสอน!I420"")"),0)</f>
        <v>0</v>
      </c>
      <c r="J525" s="292">
        <f ca="1">IFERROR(__xludf.DUMMYFUNCTION("IMPORTRANGE(""https://docs.google.com/spreadsheets/d/11923uPwbBZFjjGgGUA6NLw09EwE0CqkOc4q9oUmW1yo/edit?usp=sharing"",""แม่ฮ่องสอน!J420"")"),0)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IFERROR(__xludf.DUMMYFUNCTION("IMPORTRANGE(""https://docs.google.com/spreadsheets/d/11923uPwbBZFjjGgGUA6NLw09EwE0CqkOc4q9oUmW1yo/edit?usp=sharing"",""แม่ฮ่องสอน!I421"")"),0)</f>
        <v>0</v>
      </c>
      <c r="J526" s="292">
        <f ca="1">IFERROR(__xludf.DUMMYFUNCTION("IMPORTRANGE(""https://docs.google.com/spreadsheets/d/11923uPwbBZFjjGgGUA6NLw09EwE0CqkOc4q9oUmW1yo/edit?usp=sharing"",""แม่ฮ่องสอน!J421"")"),0)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IFERROR(__xludf.DUMMYFUNCTION("IMPORTRANGE(""https://docs.google.com/spreadsheets/d/11923uPwbBZFjjGgGUA6NLw09EwE0CqkOc4q9oUmW1yo/edit?usp=sharing"",""แม่ฮ่องสอน!I422"")"),0)</f>
        <v>0</v>
      </c>
      <c r="J527" s="207">
        <f ca="1">IFERROR(__xludf.DUMMYFUNCTION("IMPORTRANGE(""https://docs.google.com/spreadsheets/d/11923uPwbBZFjjGgGUA6NLw09EwE0CqkOc4q9oUmW1yo/edit?usp=sharing"",""แม่ฮ่องสอน!J422"")"),0)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IFERROR(__xludf.DUMMYFUNCTION("IMPORTRANGE(""https://docs.google.com/spreadsheets/d/11923uPwbBZFjjGgGUA6NLw09EwE0CqkOc4q9oUmW1yo/edit?usp=sharing"",""แม่ฮ่องสอน!I423"")"),0)</f>
        <v>0</v>
      </c>
      <c r="J528" s="207">
        <f ca="1">IFERROR(__xludf.DUMMYFUNCTION("IMPORTRANGE(""https://docs.google.com/spreadsheets/d/11923uPwbBZFjjGgGUA6NLw09EwE0CqkOc4q9oUmW1yo/edit?usp=sharing"",""แม่ฮ่องสอน!J423"")"),0)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IFERROR(__xludf.DUMMYFUNCTION("IMPORTRANGE(""https://docs.google.com/spreadsheets/d/11923uPwbBZFjjGgGUA6NLw09EwE0CqkOc4q9oUmW1yo/edit?usp=sharing"",""แม่ฮ่องสอน!I424"")"),0)</f>
        <v>0</v>
      </c>
      <c r="J529" s="207">
        <f ca="1">IFERROR(__xludf.DUMMYFUNCTION("IMPORTRANGE(""https://docs.google.com/spreadsheets/d/11923uPwbBZFjjGgGUA6NLw09EwE0CqkOc4q9oUmW1yo/edit?usp=sharing"",""แม่ฮ่องสอน!J424"")"),0)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IFERROR(__xludf.DUMMYFUNCTION("IMPORTRANGE(""https://docs.google.com/spreadsheets/d/11923uPwbBZFjjGgGUA6NLw09EwE0CqkOc4q9oUmW1yo/edit?usp=sharing"",""แม่ฮ่องสอน!I425"")"),0)</f>
        <v>0</v>
      </c>
      <c r="J530" s="207">
        <f ca="1">IFERROR(__xludf.DUMMYFUNCTION("IMPORTRANGE(""https://docs.google.com/spreadsheets/d/11923uPwbBZFjjGgGUA6NLw09EwE0CqkOc4q9oUmW1yo/edit?usp=sharing"",""แม่ฮ่องสอน!J425"")"),0)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IFERROR(__xludf.DUMMYFUNCTION("IMPORTRANGE(""https://docs.google.com/spreadsheets/d/11923uPwbBZFjjGgGUA6NLw09EwE0CqkOc4q9oUmW1yo/edit?usp=sharing"",""แม่ฮ่องสอน!I426"")"),0)</f>
        <v>0</v>
      </c>
      <c r="J531" s="207">
        <f ca="1">IFERROR(__xludf.DUMMYFUNCTION("IMPORTRANGE(""https://docs.google.com/spreadsheets/d/11923uPwbBZFjjGgGUA6NLw09EwE0CqkOc4q9oUmW1yo/edit?usp=sharing"",""แม่ฮ่องสอน!J426"")"),0)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IFERROR(__xludf.DUMMYFUNCTION("IMPORTRANGE(""https://docs.google.com/spreadsheets/d/11923uPwbBZFjjGgGUA6NLw09EwE0CqkOc4q9oUmW1yo/edit?usp=sharing"",""แม่ฮ่องสอน!I427"")"),0)</f>
        <v>0</v>
      </c>
      <c r="J532" s="474">
        <f ca="1">IFERROR(__xludf.DUMMYFUNCTION("IMPORTRANGE(""https://docs.google.com/spreadsheets/d/11923uPwbBZFjjGgGUA6NLw09EwE0CqkOc4q9oUmW1yo/edit?usp=sharing"",""แม่ฮ่องสอน!J427"")"),0)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IFERROR(__xludf.DUMMYFUNCTION("IMPORTRANGE(""https://docs.google.com/spreadsheets/d/11923uPwbBZFjjGgGUA6NLw09EwE0CqkOc4q9oUmW1yo/edit?usp=sharing"",""แม่ฮ่องสอน!I428"")"),22)</f>
        <v>22</v>
      </c>
      <c r="J533" s="418">
        <f ca="1">IFERROR(__xludf.DUMMYFUNCTION("IMPORTRANGE(""https://docs.google.com/spreadsheets/d/11923uPwbBZFjjGgGUA6NLw09EwE0CqkOc4q9oUmW1yo/edit?usp=sharing"",""แม่ฮ่องสอน!J428"")"),22)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IFERROR(__xludf.DUMMYFUNCTION("IMPORTRANGE(""https://docs.google.com/spreadsheets/d/11923uPwbBZFjjGgGUA6NLw09EwE0CqkOc4q9oUmW1yo/edit?usp=sharing"",""แม่ฮ่องสอน!L428"")"),34340)</f>
        <v>34340</v>
      </c>
      <c r="M533" s="420"/>
      <c r="N533" s="420">
        <f ca="1">IFERROR(__xludf.DUMMYFUNCTION("IMPORTRANGE(""https://docs.google.com/spreadsheets/d/11923uPwbBZFjjGgGUA6NLw09EwE0CqkOc4q9oUmW1yo/edit?usp=sharing"",""แม่ฮ่องสอน!M428"")"),24237)</f>
        <v>24237</v>
      </c>
      <c r="O533" s="420">
        <f t="shared" ref="O533:O537" ca="1" si="118">+IF(L533&gt;0,N533*100/L533,0)</f>
        <v>70.579499126383226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IFERROR(__xludf.DUMMYFUNCTION("IMPORTRANGE(""https://docs.google.com/spreadsheets/d/11923uPwbBZFjjGgGUA6NLw09EwE0CqkOc4q9oUmW1yo/edit?usp=sharing"",""แม่ฮ่องสอน!L429"")"),0)</f>
        <v>0</v>
      </c>
      <c r="M534" s="172"/>
      <c r="N534" s="178">
        <f ca="1">IFERROR(__xludf.DUMMYFUNCTION("IMPORTRANGE(""https://docs.google.com/spreadsheets/d/11923uPwbBZFjjGgGUA6NLw09EwE0CqkOc4q9oUmW1yo/edit?usp=sharing"",""แม่ฮ่องสอน!M429"")"),0)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IFERROR(__xludf.DUMMYFUNCTION("IMPORTRANGE(""https://docs.google.com/spreadsheets/d/11923uPwbBZFjjGgGUA6NLw09EwE0CqkOc4q9oUmW1yo/edit?usp=sharing"",""แม่ฮ่องสอน!L430"")"),34340)</f>
        <v>34340</v>
      </c>
      <c r="M535" s="173"/>
      <c r="N535" s="178">
        <f ca="1">IFERROR(__xludf.DUMMYFUNCTION("IMPORTRANGE(""https://docs.google.com/spreadsheets/d/11923uPwbBZFjjGgGUA6NLw09EwE0CqkOc4q9oUmW1yo/edit?usp=sharing"",""แม่ฮ่องสอน!M430"")"),24237)</f>
        <v>24237</v>
      </c>
      <c r="O535" s="178">
        <f t="shared" ca="1" si="118"/>
        <v>70.579499126383226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IFERROR(__xludf.DUMMYFUNCTION("IMPORTRANGE(""https://docs.google.com/spreadsheets/d/11923uPwbBZFjjGgGUA6NLw09EwE0CqkOc4q9oUmW1yo/edit?usp=sharing"",""แม่ฮ่องสอน!L431"")"),0)</f>
        <v>0</v>
      </c>
      <c r="M536" s="178"/>
      <c r="N536" s="178">
        <f ca="1">IFERROR(__xludf.DUMMYFUNCTION("IMPORTRANGE(""https://docs.google.com/spreadsheets/d/11923uPwbBZFjjGgGUA6NLw09EwE0CqkOc4q9oUmW1yo/edit?usp=sharing"",""แม่ฮ่องสอน!M431"")"),0)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IFERROR(__xludf.DUMMYFUNCTION("IMPORTRANGE(""https://docs.google.com/spreadsheets/d/11923uPwbBZFjjGgGUA6NLw09EwE0CqkOc4q9oUmW1yo/edit?usp=sharing"",""แม่ฮ่องสอน!L432"")"),34340)</f>
        <v>34340</v>
      </c>
      <c r="M537" s="178"/>
      <c r="N537" s="178">
        <f ca="1">IFERROR(__xludf.DUMMYFUNCTION("IMPORTRANGE(""https://docs.google.com/spreadsheets/d/11923uPwbBZFjjGgGUA6NLw09EwE0CqkOc4q9oUmW1yo/edit?usp=sharing"",""แม่ฮ่องสอน!M432"")"),24237)</f>
        <v>24237</v>
      </c>
      <c r="O537" s="178">
        <f t="shared" ca="1" si="118"/>
        <v>70.579499126383226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IFERROR(__xludf.DUMMYFUNCTION("IMPORTRANGE(""https://docs.google.com/spreadsheets/d/11923uPwbBZFjjGgGUA6NLw09EwE0CqkOc4q9oUmW1yo/edit?usp=sharing"",""แม่ฮ่องสอน!M433"")"),18740)</f>
        <v>18740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IFERROR(__xludf.DUMMYFUNCTION("IMPORTRANGE(""https://docs.google.com/spreadsheets/d/11923uPwbBZFjjGgGUA6NLw09EwE0CqkOc4q9oUmW1yo/edit?usp=sharing"",""แม่ฮ่องสอน!M434"")"),0)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IFERROR(__xludf.DUMMYFUNCTION("IMPORTRANGE(""https://docs.google.com/spreadsheets/d/11923uPwbBZFjjGgGUA6NLw09EwE0CqkOc4q9oUmW1yo/edit?usp=sharing"",""แม่ฮ่องสอน!M435"")"),0)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IFERROR(__xludf.DUMMYFUNCTION("IMPORTRANGE(""https://docs.google.com/spreadsheets/d/11923uPwbBZFjjGgGUA6NLw09EwE0CqkOc4q9oUmW1yo/edit?usp=sharing"",""แม่ฮ่องสอน!M436"")"),5497)</f>
        <v>5497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IFERROR(__xludf.DUMMYFUNCTION("IMPORTRANGE(""https://docs.google.com/spreadsheets/d/11923uPwbBZFjjGgGUA6NLw09EwE0CqkOc4q9oUmW1yo/edit?usp=sharing"",""แม่ฮ่องสอน!J438"")"),0)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IFERROR(__xludf.DUMMYFUNCTION("IMPORTRANGE(""https://docs.google.com/spreadsheets/d/11923uPwbBZFjjGgGUA6NLw09EwE0CqkOc4q9oUmW1yo/edit?usp=sharing"",""แม่ฮ่องสอน!J439"")"),1)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IFERROR(__xludf.DUMMYFUNCTION("IMPORTRANGE(""https://docs.google.com/spreadsheets/d/11923uPwbBZFjjGgGUA6NLw09EwE0CqkOc4q9oUmW1yo/edit?usp=sharing"",""แม่ฮ่องสอน!J440"")"),1)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IFERROR(__xludf.DUMMYFUNCTION("IMPORTRANGE(""https://docs.google.com/spreadsheets/d/11923uPwbBZFjjGgGUA6NLw09EwE0CqkOc4q9oUmW1yo/edit?usp=sharing"",""แม่ฮ่องสอน!J441"")"),1)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IFERROR(__xludf.DUMMYFUNCTION("IMPORTRANGE(""https://docs.google.com/spreadsheets/d/11923uPwbBZFjjGgGUA6NLw09EwE0CqkOc4q9oUmW1yo/edit?usp=sharing"",""แม่ฮ่องสอน!I442"")"),22)</f>
        <v>22</v>
      </c>
      <c r="J547" s="198">
        <f ca="1">IFERROR(__xludf.DUMMYFUNCTION("IMPORTRANGE(""https://docs.google.com/spreadsheets/d/11923uPwbBZFjjGgGUA6NLw09EwE0CqkOc4q9oUmW1yo/edit?usp=sharing"",""แม่ฮ่องสอน!J442"")"),22)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IFERROR(__xludf.DUMMYFUNCTION("IMPORTRANGE(""https://docs.google.com/spreadsheets/d/11923uPwbBZFjjGgGUA6NLw09EwE0CqkOc4q9oUmW1yo/edit?usp=sharing"",""แม่ฮ่องสอน!J166"")"),0)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IFERROR(__xludf.DUMMYFUNCTION("IMPORTRANGE(""https://docs.google.com/spreadsheets/d/11923uPwbBZFjjGgGUA6NLw09EwE0CqkOc4q9oUmW1yo/edit?usp=sharing"",""แม่ฮ่องสอน!J444"")"),0)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IFERROR(__xludf.DUMMYFUNCTION("IMPORTRANGE(""https://docs.google.com/spreadsheets/d/11923uPwbBZFjjGgGUA6NLw09EwE0CqkOc4q9oUmW1yo/edit?usp=sharing"",""แม่ฮ่องสอน!J445"")"),0)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IFERROR(__xludf.DUMMYFUNCTION("IMPORTRANGE(""https://docs.google.com/spreadsheets/d/11923uPwbBZFjjGgGUA6NLw09EwE0CqkOc4q9oUmW1yo/edit?usp=sharing"",""แม่ฮ่องสอน!I446"")"),0)</f>
        <v>0</v>
      </c>
      <c r="J551" s="418">
        <f ca="1">IFERROR(__xludf.DUMMYFUNCTION("IMPORTRANGE(""https://docs.google.com/spreadsheets/d/11923uPwbBZFjjGgGUA6NLw09EwE0CqkOc4q9oUmW1yo/edit?usp=sharing"",""แม่ฮ่องสอน!J446"")"),0)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IFERROR(__xludf.DUMMYFUNCTION("IMPORTRANGE(""https://docs.google.com/spreadsheets/d/11923uPwbBZFjjGgGUA6NLw09EwE0CqkOc4q9oUmW1yo/edit?usp=sharing"",""แม่ฮ่องสอน!L446"")"),0)</f>
        <v>0</v>
      </c>
      <c r="M551" s="420"/>
      <c r="N551" s="420">
        <f ca="1">IFERROR(__xludf.DUMMYFUNCTION("IMPORTRANGE(""https://docs.google.com/spreadsheets/d/11923uPwbBZFjjGgGUA6NLw09EwE0CqkOc4q9oUmW1yo/edit?usp=sharing"",""แม่ฮ่องสอน!M446"")"),0)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IFERROR(__xludf.DUMMYFUNCTION("IMPORTRANGE(""https://docs.google.com/spreadsheets/d/11923uPwbBZFjjGgGUA6NLw09EwE0CqkOc4q9oUmW1yo/edit?usp=sharing"",""แม่ฮ่องสอน!L447"")"),0)</f>
        <v>0</v>
      </c>
      <c r="M552" s="172"/>
      <c r="N552" s="178">
        <f ca="1">IFERROR(__xludf.DUMMYFUNCTION("IMPORTRANGE(""https://docs.google.com/spreadsheets/d/11923uPwbBZFjjGgGUA6NLw09EwE0CqkOc4q9oUmW1yo/edit?usp=sharing"",""แม่ฮ่องสอน!M447"")"),0)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IFERROR(__xludf.DUMMYFUNCTION("IMPORTRANGE(""https://docs.google.com/spreadsheets/d/11923uPwbBZFjjGgGUA6NLw09EwE0CqkOc4q9oUmW1yo/edit?usp=sharing"",""แม่ฮ่องสอน!L448"")"),0)</f>
        <v>0</v>
      </c>
      <c r="M553" s="173"/>
      <c r="N553" s="178">
        <f ca="1">IFERROR(__xludf.DUMMYFUNCTION("IMPORTRANGE(""https://docs.google.com/spreadsheets/d/11923uPwbBZFjjGgGUA6NLw09EwE0CqkOc4q9oUmW1yo/edit?usp=sharing"",""แม่ฮ่องสอน!M448"")"),0)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IFERROR(__xludf.DUMMYFUNCTION("IMPORTRANGE(""https://docs.google.com/spreadsheets/d/11923uPwbBZFjjGgGUA6NLw09EwE0CqkOc4q9oUmW1yo/edit?usp=sharing"",""แม่ฮ่องสอน!L449"")"),0)</f>
        <v>0</v>
      </c>
      <c r="M554" s="178"/>
      <c r="N554" s="178">
        <f ca="1">IFERROR(__xludf.DUMMYFUNCTION("IMPORTRANGE(""https://docs.google.com/spreadsheets/d/11923uPwbBZFjjGgGUA6NLw09EwE0CqkOc4q9oUmW1yo/edit?usp=sharing"",""แม่ฮ่องสอน!M449"")"),0)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IFERROR(__xludf.DUMMYFUNCTION("IMPORTRANGE(""https://docs.google.com/spreadsheets/d/11923uPwbBZFjjGgGUA6NLw09EwE0CqkOc4q9oUmW1yo/edit?usp=sharing"",""แม่ฮ่องสอน!L450"")"),0)</f>
        <v>0</v>
      </c>
      <c r="M555" s="178"/>
      <c r="N555" s="178">
        <f ca="1">IFERROR(__xludf.DUMMYFUNCTION("IMPORTRANGE(""https://docs.google.com/spreadsheets/d/11923uPwbBZFjjGgGUA6NLw09EwE0CqkOc4q9oUmW1yo/edit?usp=sharing"",""แม่ฮ่องสอน!M450"")"),0)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IFERROR(__xludf.DUMMYFUNCTION("IMPORTRANGE(""https://docs.google.com/spreadsheets/d/11923uPwbBZFjjGgGUA6NLw09EwE0CqkOc4q9oUmW1yo/edit?usp=sharing"",""แม่ฮ่องสอน!M451"")"),0)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IFERROR(__xludf.DUMMYFUNCTION("IMPORTRANGE(""https://docs.google.com/spreadsheets/d/11923uPwbBZFjjGgGUA6NLw09EwE0CqkOc4q9oUmW1yo/edit?usp=sharing"",""แม่ฮ่องสอน!M452"")"),0)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IFERROR(__xludf.DUMMYFUNCTION("IMPORTRANGE(""https://docs.google.com/spreadsheets/d/11923uPwbBZFjjGgGUA6NLw09EwE0CqkOc4q9oUmW1yo/edit?usp=sharing"",""แม่ฮ่องสอน!M453"")"),0)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IFERROR(__xludf.DUMMYFUNCTION("IMPORTRANGE(""https://docs.google.com/spreadsheets/d/11923uPwbBZFjjGgGUA6NLw09EwE0CqkOc4q9oUmW1yo/edit?usp=sharing"",""แม่ฮ่องสอน!M454"")"),0)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IFERROR(__xludf.DUMMYFUNCTION("IMPORTRANGE(""https://docs.google.com/spreadsheets/d/11923uPwbBZFjjGgGUA6NLw09EwE0CqkOc4q9oUmW1yo/edit?usp=sharing"",""แม่ฮ่องสอน!I455"")"),0)</f>
        <v>0</v>
      </c>
      <c r="J560" s="170">
        <f ca="1">IFERROR(__xludf.DUMMYFUNCTION("IMPORTRANGE(""https://docs.google.com/spreadsheets/d/11923uPwbBZFjjGgGUA6NLw09EwE0CqkOc4q9oUmW1yo/edit?usp=sharing"",""แม่ฮ่องสอน!J455"")"),0)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IFERROR(__xludf.DUMMYFUNCTION("IMPORTRANGE(""https://docs.google.com/spreadsheets/d/11923uPwbBZFjjGgGUA6NLw09EwE0CqkOc4q9oUmW1yo/edit?usp=sharing"",""แม่ฮ่องสอน!I456"")"),0)</f>
        <v>0</v>
      </c>
      <c r="J561" s="213">
        <f ca="1">IFERROR(__xludf.DUMMYFUNCTION("IMPORTRANGE(""https://docs.google.com/spreadsheets/d/11923uPwbBZFjjGgGUA6NLw09EwE0CqkOc4q9oUmW1yo/edit?usp=sharing"",""แม่ฮ่องสอน!J456"")"),0)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 t="str">
        <f ca="1">IFERROR(__xludf.DUMMYFUNCTION("IMPORTRANGE(""https://docs.google.com/spreadsheets/d/11923uPwbBZFjjGgGUA6NLw09EwE0CqkOc4q9oUmW1yo/edit?usp=sharing"",""แม่ฮ่องสอน!I457"")"),"")</f>
        <v/>
      </c>
      <c r="J562" s="213" t="str">
        <f ca="1">IFERROR(__xludf.DUMMYFUNCTION("IMPORTRANGE(""https://docs.google.com/spreadsheets/d/11923uPwbBZFjjGgGUA6NLw09EwE0CqkOc4q9oUmW1yo/edit?usp=sharing"",""แม่ฮ่องสอน!J457"")"),"")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 t="str">
        <f ca="1">IFERROR(__xludf.DUMMYFUNCTION("IMPORTRANGE(""https://docs.google.com/spreadsheets/d/11923uPwbBZFjjGgGUA6NLw09EwE0CqkOc4q9oUmW1yo/edit?usp=sharing"",""แม่ฮ่องสอน!I458"")"),"")</f>
        <v/>
      </c>
      <c r="J563" s="197" t="str">
        <f ca="1">IFERROR(__xludf.DUMMYFUNCTION("IMPORTRANGE(""https://docs.google.com/spreadsheets/d/11923uPwbBZFjjGgGUA6NLw09EwE0CqkOc4q9oUmW1yo/edit?usp=sharing"",""แม่ฮ่องสอน!J458"")"),"")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IFERROR(__xludf.DUMMYFUNCTION("IMPORTRANGE(""https://docs.google.com/spreadsheets/d/11923uPwbBZFjjGgGUA6NLw09EwE0CqkOc4q9oUmW1yo/edit?usp=sharing"",""แม่ฮ่องสอน!I459"")"),250)</f>
        <v>250</v>
      </c>
      <c r="J564" s="379">
        <f ca="1">IFERROR(__xludf.DUMMYFUNCTION("IMPORTRANGE(""https://docs.google.com/spreadsheets/d/11923uPwbBZFjjGgGUA6NLw09EwE0CqkOc4q9oUmW1yo/edit?usp=sharing"",""แม่ฮ่องสอน!J459"")"),102)</f>
        <v>102</v>
      </c>
      <c r="K564" s="380">
        <f t="shared" ca="1" si="121"/>
        <v>40.799999999999997</v>
      </c>
      <c r="L564" s="381">
        <f ca="1">IFERROR(__xludf.DUMMYFUNCTION("IMPORTRANGE(""https://docs.google.com/spreadsheets/d/11923uPwbBZFjjGgGUA6NLw09EwE0CqkOc4q9oUmW1yo/edit?usp=sharing"",""แม่ฮ่องสอน!L459"")"),130080)</f>
        <v>130080</v>
      </c>
      <c r="M564" s="381"/>
      <c r="N564" s="381">
        <f ca="1">IFERROR(__xludf.DUMMYFUNCTION("IMPORTRANGE(""https://docs.google.com/spreadsheets/d/11923uPwbBZFjjGgGUA6NLw09EwE0CqkOc4q9oUmW1yo/edit?usp=sharing"",""แม่ฮ่องสอน!M459"")"),24480)</f>
        <v>24480</v>
      </c>
      <c r="O564" s="381">
        <f t="shared" ref="O564:O568" ca="1" si="122">+IF(L564&gt;0,N564*100/L564,0)</f>
        <v>18.819188191881917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IFERROR(__xludf.DUMMYFUNCTION("IMPORTRANGE(""https://docs.google.com/spreadsheets/d/11923uPwbBZFjjGgGUA6NLw09EwE0CqkOc4q9oUmW1yo/edit?usp=sharing"",""แม่ฮ่องสอน!L460"")"),0)</f>
        <v>0</v>
      </c>
      <c r="M565" s="172"/>
      <c r="N565" s="178">
        <f ca="1">IFERROR(__xludf.DUMMYFUNCTION("IMPORTRANGE(""https://docs.google.com/spreadsheets/d/11923uPwbBZFjjGgGUA6NLw09EwE0CqkOc4q9oUmW1yo/edit?usp=sharing"",""แม่ฮ่องสอน!M460"")"),0)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IFERROR(__xludf.DUMMYFUNCTION("IMPORTRANGE(""https://docs.google.com/spreadsheets/d/11923uPwbBZFjjGgGUA6NLw09EwE0CqkOc4q9oUmW1yo/edit?usp=sharing"",""แม่ฮ่องสอน!L461"")"),130080)</f>
        <v>130080</v>
      </c>
      <c r="M566" s="173"/>
      <c r="N566" s="178">
        <f ca="1">IFERROR(__xludf.DUMMYFUNCTION("IMPORTRANGE(""https://docs.google.com/spreadsheets/d/11923uPwbBZFjjGgGUA6NLw09EwE0CqkOc4q9oUmW1yo/edit?usp=sharing"",""แม่ฮ่องสอน!M461"")"),24480)</f>
        <v>24480</v>
      </c>
      <c r="O566" s="178">
        <f t="shared" ca="1" si="122"/>
        <v>18.819188191881917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IFERROR(__xludf.DUMMYFUNCTION("IMPORTRANGE(""https://docs.google.com/spreadsheets/d/11923uPwbBZFjjGgGUA6NLw09EwE0CqkOc4q9oUmW1yo/edit?usp=sharing"",""แม่ฮ่องสอน!L462"")"),0)</f>
        <v>0</v>
      </c>
      <c r="M567" s="178"/>
      <c r="N567" s="178">
        <f ca="1">IFERROR(__xludf.DUMMYFUNCTION("IMPORTRANGE(""https://docs.google.com/spreadsheets/d/11923uPwbBZFjjGgGUA6NLw09EwE0CqkOc4q9oUmW1yo/edit?usp=sharing"",""แม่ฮ่องสอน!M462"")"),0)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78"/>
      <c r="N568" s="178">
        <f ca="1">IFERROR(__xludf.DUMMYFUNCTION("IMPORTRANGE(""https://docs.google.com/spreadsheets/d/11923uPwbBZFjjGgGUA6NLw09EwE0CqkOc4q9oUmW1yo/edit?usp=sharing"",""แม่ฮ่องสอน!M463"")"),24480)</f>
        <v>24480</v>
      </c>
      <c r="O568" s="178">
        <f t="shared" ca="1" si="122"/>
        <v>18.819188191881917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IFERROR(__xludf.DUMMYFUNCTION("IMPORTRANGE(""https://docs.google.com/spreadsheets/d/11923uPwbBZFjjGgGUA6NLw09EwE0CqkOc4q9oUmW1yo/edit?usp=sharing"",""แม่ฮ่องสอน!M464"")"),0)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IFERROR(__xludf.DUMMYFUNCTION("IMPORTRANGE(""https://docs.google.com/spreadsheets/d/11923uPwbBZFjjGgGUA6NLw09EwE0CqkOc4q9oUmW1yo/edit?usp=sharing"",""แม่ฮ่องสอน!M465"")"),0)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IFERROR(__xludf.DUMMYFUNCTION("IMPORTRANGE(""https://docs.google.com/spreadsheets/d/11923uPwbBZFjjGgGUA6NLw09EwE0CqkOc4q9oUmW1yo/edit?usp=sharing"",""แม่ฮ่องสอน!M466"")"),22000)</f>
        <v>22000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IFERROR(__xludf.DUMMYFUNCTION("IMPORTRANGE(""https://docs.google.com/spreadsheets/d/11923uPwbBZFjjGgGUA6NLw09EwE0CqkOc4q9oUmW1yo/edit?usp=sharing"",""แม่ฮ่องสอน!M467"")"),2480)</f>
        <v>2480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IFERROR(__xludf.DUMMYFUNCTION("IMPORTRANGE(""https://docs.google.com/spreadsheets/d/11923uPwbBZFjjGgGUA6NLw09EwE0CqkOc4q9oUmW1yo/edit?usp=sharing"",""แม่ฮ่องสอน!I468"")"),250)</f>
        <v>250</v>
      </c>
      <c r="J573" s="428">
        <f ca="1">IFERROR(__xludf.DUMMYFUNCTION("IMPORTRANGE(""https://docs.google.com/spreadsheets/d/11923uPwbBZFjjGgGUA6NLw09EwE0CqkOc4q9oUmW1yo/edit?usp=sharing"",""แม่ฮ่องสอน!J468"")"),102)</f>
        <v>102</v>
      </c>
      <c r="K573" s="211">
        <f ca="1">IF(I573&gt;0,J573*100/I573,0)</f>
        <v>40.799999999999997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IFERROR(__xludf.DUMMYFUNCTION("IMPORTRANGE(""https://docs.google.com/spreadsheets/d/11923uPwbBZFjjGgGUA6NLw09EwE0CqkOc4q9oUmW1yo/edit?usp=sharing"",""แม่ฮ่องสอน!I470"")"),0)</f>
        <v>0</v>
      </c>
      <c r="J575" s="207">
        <f ca="1">IFERROR(__xludf.DUMMYFUNCTION("IMPORTRANGE(""https://docs.google.com/spreadsheets/d/11923uPwbBZFjjGgGUA6NLw09EwE0CqkOc4q9oUmW1yo/edit?usp=sharing"",""แม่ฮ่องสอน!J470"")"),4)</f>
        <v>4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IFERROR(__xludf.DUMMYFUNCTION("IMPORTRANGE(""https://docs.google.com/spreadsheets/d/11923uPwbBZFjjGgGUA6NLw09EwE0CqkOc4q9oUmW1yo/edit?usp=sharing"",""แม่ฮ่องสอน!I471"")"),0)</f>
        <v>0</v>
      </c>
      <c r="J576" s="207">
        <f ca="1">IFERROR(__xludf.DUMMYFUNCTION("IMPORTRANGE(""https://docs.google.com/spreadsheets/d/11923uPwbBZFjjGgGUA6NLw09EwE0CqkOc4q9oUmW1yo/edit?usp=sharing"",""แม่ฮ่องสอน!J471"")"),76)</f>
        <v>76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IFERROR(__xludf.DUMMYFUNCTION("IMPORTRANGE(""https://docs.google.com/spreadsheets/d/11923uPwbBZFjjGgGUA6NLw09EwE0CqkOc4q9oUmW1yo/edit?usp=sharing"",""แม่ฮ่องสอน!I472"")"),0)</f>
        <v>0</v>
      </c>
      <c r="J577" s="198">
        <f ca="1">IFERROR(__xludf.DUMMYFUNCTION("IMPORTRANGE(""https://docs.google.com/spreadsheets/d/11923uPwbBZFjjGgGUA6NLw09EwE0CqkOc4q9oUmW1yo/edit?usp=sharing"",""แม่ฮ่องสอน!J472"")"),26)</f>
        <v>26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IFERROR(__xludf.DUMMYFUNCTION("IMPORTRANGE(""https://docs.google.com/spreadsheets/d/11923uPwbBZFjjGgGUA6NLw09EwE0CqkOc4q9oUmW1yo/edit?usp=sharing"",""แม่ฮ่องสอน!I473"")"),0)</f>
        <v>0</v>
      </c>
      <c r="J578" s="207">
        <f ca="1">IFERROR(__xludf.DUMMYFUNCTION("IMPORTRANGE(""https://docs.google.com/spreadsheets/d/11923uPwbBZFjjGgGUA6NLw09EwE0CqkOc4q9oUmW1yo/edit?usp=sharing"",""แม่ฮ่องสอน!J473"")"),0)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IFERROR(__xludf.DUMMYFUNCTION("IMPORTRANGE(""https://docs.google.com/spreadsheets/d/11923uPwbBZFjjGgGUA6NLw09EwE0CqkOc4q9oUmW1yo/edit?usp=sharing"",""แม่ฮ่องสอน!I474"")"),0)</f>
        <v>0</v>
      </c>
      <c r="J579" s="207">
        <f ca="1">IFERROR(__xludf.DUMMYFUNCTION("IMPORTRANGE(""https://docs.google.com/spreadsheets/d/11923uPwbBZFjjGgGUA6NLw09EwE0CqkOc4q9oUmW1yo/edit?usp=sharing"",""แม่ฮ่องสอน!J474"")"),0)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IFERROR(__xludf.DUMMYFUNCTION("IMPORTRANGE(""https://docs.google.com/spreadsheets/d/11923uPwbBZFjjGgGUA6NLw09EwE0CqkOc4q9oUmW1yo/edit?usp=sharing"",""แม่ฮ่องสอน!I475"")"),34)</f>
        <v>34</v>
      </c>
      <c r="J580" s="379">
        <f ca="1">IFERROR(__xludf.DUMMYFUNCTION("IMPORTRANGE(""https://docs.google.com/spreadsheets/d/11923uPwbBZFjjGgGUA6NLw09EwE0CqkOc4q9oUmW1yo/edit?usp=sharing"",""แม่ฮ่องสอน!J475"")"),0)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IFERROR(__xludf.DUMMYFUNCTION("IMPORTRANGE(""https://docs.google.com/spreadsheets/d/11923uPwbBZFjjGgGUA6NLw09EwE0CqkOc4q9oUmW1yo/edit?usp=sharing"",""แม่ฮ่องสอน!L475"")"),128934)</f>
        <v>128934</v>
      </c>
      <c r="M580" s="381"/>
      <c r="N580" s="381">
        <f ca="1">IFERROR(__xludf.DUMMYFUNCTION("IMPORTRANGE(""https://docs.google.com/spreadsheets/d/11923uPwbBZFjjGgGUA6NLw09EwE0CqkOc4q9oUmW1yo/edit?usp=sharing"",""แม่ฮ่องสอน!M475"")"),0)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IFERROR(__xludf.DUMMYFUNCTION("IMPORTRANGE(""https://docs.google.com/spreadsheets/d/11923uPwbBZFjjGgGUA6NLw09EwE0CqkOc4q9oUmW1yo/edit?usp=sharing"",""แม่ฮ่องสอน!L476"")"),0)</f>
        <v>0</v>
      </c>
      <c r="M581" s="172"/>
      <c r="N581" s="178">
        <f ca="1">IFERROR(__xludf.DUMMYFUNCTION("IMPORTRANGE(""https://docs.google.com/spreadsheets/d/11923uPwbBZFjjGgGUA6NLw09EwE0CqkOc4q9oUmW1yo/edit?usp=sharing"",""แม่ฮ่องสอน!M476"")"),0)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IFERROR(__xludf.DUMMYFUNCTION("IMPORTRANGE(""https://docs.google.com/spreadsheets/d/11923uPwbBZFjjGgGUA6NLw09EwE0CqkOc4q9oUmW1yo/edit?usp=sharing"",""แม่ฮ่องสอน!L477"")"),128934)</f>
        <v>128934</v>
      </c>
      <c r="M582" s="173"/>
      <c r="N582" s="178">
        <f ca="1">IFERROR(__xludf.DUMMYFUNCTION("IMPORTRANGE(""https://docs.google.com/spreadsheets/d/11923uPwbBZFjjGgGUA6NLw09EwE0CqkOc4q9oUmW1yo/edit?usp=sharing"",""แม่ฮ่องสอน!M477"")"),0)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IFERROR(__xludf.DUMMYFUNCTION("IMPORTRANGE(""https://docs.google.com/spreadsheets/d/11923uPwbBZFjjGgGUA6NLw09EwE0CqkOc4q9oUmW1yo/edit?usp=sharing"",""แม่ฮ่องสอน!L478"")"),0)</f>
        <v>0</v>
      </c>
      <c r="M583" s="178"/>
      <c r="N583" s="178">
        <f ca="1">IFERROR(__xludf.DUMMYFUNCTION("IMPORTRANGE(""https://docs.google.com/spreadsheets/d/11923uPwbBZFjjGgGUA6NLw09EwE0CqkOc4q9oUmW1yo/edit?usp=sharing"",""แม่ฮ่องสอน!M478"")"),0)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IFERROR(__xludf.DUMMYFUNCTION("IMPORTRANGE(""https://docs.google.com/spreadsheets/d/11923uPwbBZFjjGgGUA6NLw09EwE0CqkOc4q9oUmW1yo/edit?usp=sharing"",""แม่ฮ่องสอน!L479"")"),128934)</f>
        <v>128934</v>
      </c>
      <c r="M584" s="178"/>
      <c r="N584" s="178">
        <f ca="1">IFERROR(__xludf.DUMMYFUNCTION("IMPORTRANGE(""https://docs.google.com/spreadsheets/d/11923uPwbBZFjjGgGUA6NLw09EwE0CqkOc4q9oUmW1yo/edit?usp=sharing"",""แม่ฮ่องสอน!M479"")"),0)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IFERROR(__xludf.DUMMYFUNCTION("IMPORTRANGE(""https://docs.google.com/spreadsheets/d/11923uPwbBZFjjGgGUA6NLw09EwE0CqkOc4q9oUmW1yo/edit?usp=sharing"",""แม่ฮ่องสอน!M480"")"),0)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IFERROR(__xludf.DUMMYFUNCTION("IMPORTRANGE(""https://docs.google.com/spreadsheets/d/11923uPwbBZFjjGgGUA6NLw09EwE0CqkOc4q9oUmW1yo/edit?usp=sharing"",""แม่ฮ่องสอน!M481"")"),0)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IFERROR(__xludf.DUMMYFUNCTION("IMPORTRANGE(""https://docs.google.com/spreadsheets/d/11923uPwbBZFjjGgGUA6NLw09EwE0CqkOc4q9oUmW1yo/edit?usp=sharing"",""แม่ฮ่องสอน!M482"")"),0)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IFERROR(__xludf.DUMMYFUNCTION("IMPORTRANGE(""https://docs.google.com/spreadsheets/d/11923uPwbBZFjjGgGUA6NLw09EwE0CqkOc4q9oUmW1yo/edit?usp=sharing"",""แม่ฮ่องสอน!M483"")"),0)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IFERROR(__xludf.DUMMYFUNCTION("IMPORTRANGE(""https://docs.google.com/spreadsheets/d/11923uPwbBZFjjGgGUA6NLw09EwE0CqkOc4q9oUmW1yo/edit?usp=sharing"",""แม่ฮ่องสอน!I484"")"),34)</f>
        <v>34</v>
      </c>
      <c r="J589" s="197">
        <f ca="1">IFERROR(__xludf.DUMMYFUNCTION("IMPORTRANGE(""https://docs.google.com/spreadsheets/d/11923uPwbBZFjjGgGUA6NLw09EwE0CqkOc4q9oUmW1yo/edit?usp=sharing"",""แม่ฮ่องสอน!J484"")"),0)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IFERROR(__xludf.DUMMYFUNCTION("IMPORTRANGE(""https://docs.google.com/spreadsheets/d/11923uPwbBZFjjGgGUA6NLw09EwE0CqkOc4q9oUmW1yo/edit?usp=sharing"",""แม่ฮ่องสอน!I485"")"),0)</f>
        <v>0</v>
      </c>
      <c r="J590" s="197">
        <f ca="1">IFERROR(__xludf.DUMMYFUNCTION("IMPORTRANGE(""https://docs.google.com/spreadsheets/d/11923uPwbBZFjjGgGUA6NLw09EwE0CqkOc4q9oUmW1yo/edit?usp=sharing"",""แม่ฮ่องสอน!J485"")"),0)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IFERROR(__xludf.DUMMYFUNCTION("IMPORTRANGE(""https://docs.google.com/spreadsheets/d/11923uPwbBZFjjGgGUA6NLw09EwE0CqkOc4q9oUmW1yo/edit?usp=sharing"",""แม่ฮ่องสอน!I486"")"),34)</f>
        <v>34</v>
      </c>
      <c r="J591" s="197">
        <f ca="1">IFERROR(__xludf.DUMMYFUNCTION("IMPORTRANGE(""https://docs.google.com/spreadsheets/d/11923uPwbBZFjjGgGUA6NLw09EwE0CqkOc4q9oUmW1yo/edit?usp=sharing"",""แม่ฮ่องสอน!J486"")"),0)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IFERROR(__xludf.DUMMYFUNCTION("IMPORTRANGE(""https://docs.google.com/spreadsheets/d/11923uPwbBZFjjGgGUA6NLw09EwE0CqkOc4q9oUmW1yo/edit?usp=sharing"",""แม่ฮ่องสอน!I487"")"),0)</f>
        <v>0</v>
      </c>
      <c r="J592" s="197">
        <f ca="1">IFERROR(__xludf.DUMMYFUNCTION("IMPORTRANGE(""https://docs.google.com/spreadsheets/d/11923uPwbBZFjjGgGUA6NLw09EwE0CqkOc4q9oUmW1yo/edit?usp=sharing"",""แม่ฮ่องสอน!J487"")"),0)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IFERROR(__xludf.DUMMYFUNCTION("IMPORTRANGE(""https://docs.google.com/spreadsheets/d/11923uPwbBZFjjGgGUA6NLw09EwE0CqkOc4q9oUmW1yo/edit?usp=sharing"",""แม่ฮ่องสอน!I488"")"),34)</f>
        <v>34</v>
      </c>
      <c r="J593" s="197">
        <f ca="1">IFERROR(__xludf.DUMMYFUNCTION("IMPORTRANGE(""https://docs.google.com/spreadsheets/d/11923uPwbBZFjjGgGUA6NLw09EwE0CqkOc4q9oUmW1yo/edit?usp=sharing"",""แม่ฮ่องสอน!J488"")"),0)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IFERROR(__xludf.DUMMYFUNCTION("IMPORTRANGE(""https://docs.google.com/spreadsheets/d/11923uPwbBZFjjGgGUA6NLw09EwE0CqkOc4q9oUmW1yo/edit?usp=sharing"",""แม่ฮ่องสอน!I489"")"),0)</f>
        <v>0</v>
      </c>
      <c r="J594" s="197">
        <f ca="1">IFERROR(__xludf.DUMMYFUNCTION("IMPORTRANGE(""https://docs.google.com/spreadsheets/d/11923uPwbBZFjjGgGUA6NLw09EwE0CqkOc4q9oUmW1yo/edit?usp=sharing"",""แม่ฮ่องสอน!J489"")"),0)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IFERROR(__xludf.DUMMYFUNCTION("IMPORTRANGE(""https://docs.google.com/spreadsheets/d/11923uPwbBZFjjGgGUA6NLw09EwE0CqkOc4q9oUmW1yo/edit?usp=sharing"",""แม่ฮ่องสอน!I490"")"),34)</f>
        <v>34</v>
      </c>
      <c r="J595" s="197">
        <f ca="1">IFERROR(__xludf.DUMMYFUNCTION("IMPORTRANGE(""https://docs.google.com/spreadsheets/d/11923uPwbBZFjjGgGUA6NLw09EwE0CqkOc4q9oUmW1yo/edit?usp=sharing"",""แม่ฮ่องสอน!J490"")"),0)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IFERROR(__xludf.DUMMYFUNCTION("IMPORTRANGE(""https://docs.google.com/spreadsheets/d/11923uPwbBZFjjGgGUA6NLw09EwE0CqkOc4q9oUmW1yo/edit?usp=sharing"",""แม่ฮ่องสอน!I491"")"),0)</f>
        <v>0</v>
      </c>
      <c r="J596" s="250">
        <f ca="1">IFERROR(__xludf.DUMMYFUNCTION("IMPORTRANGE(""https://docs.google.com/spreadsheets/d/11923uPwbBZFjjGgGUA6NLw09EwE0CqkOc4q9oUmW1yo/edit?usp=sharing"",""แม่ฮ่องสอน!J491"")"),0)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IFERROR(__xludf.DUMMYFUNCTION("IMPORTRANGE(""https://docs.google.com/spreadsheets/d/11923uPwbBZFjjGgGUA6NLw09EwE0CqkOc4q9oUmW1yo/edit?usp=sharing"",""แม่ฮ่องสอน!I492"")"),50)</f>
        <v>50</v>
      </c>
      <c r="J597" s="495">
        <f ca="1">IFERROR(__xludf.DUMMYFUNCTION("IMPORTRANGE(""https://docs.google.com/spreadsheets/d/11923uPwbBZFjjGgGUA6NLw09EwE0CqkOc4q9oUmW1yo/edit?usp=sharing"",""แม่ฮ่องสอน!J492"")"),0)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IFERROR(__xludf.DUMMYFUNCTION("IMPORTRANGE(""https://docs.google.com/spreadsheets/d/11923uPwbBZFjjGgGUA6NLw09EwE0CqkOc4q9oUmW1yo/edit?usp=sharing"",""แม่ฮ่องสอน!L492"")"),6950)</f>
        <v>6950</v>
      </c>
      <c r="M597" s="420"/>
      <c r="N597" s="420">
        <f ca="1">IFERROR(__xludf.DUMMYFUNCTION("IMPORTRANGE(""https://docs.google.com/spreadsheets/d/11923uPwbBZFjjGgGUA6NLw09EwE0CqkOc4q9oUmW1yo/edit?usp=sharing"",""แม่ฮ่องสอน!M492"")"),2140)</f>
        <v>2140</v>
      </c>
      <c r="O597" s="420">
        <f t="shared" ref="O597:O601" ca="1" si="126">+IF(L597&gt;0,N597*100/L597,0)</f>
        <v>30.791366906474821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IFERROR(__xludf.DUMMYFUNCTION("IMPORTRANGE(""https://docs.google.com/spreadsheets/d/11923uPwbBZFjjGgGUA6NLw09EwE0CqkOc4q9oUmW1yo/edit?usp=sharing"",""แม่ฮ่องสอน!L493"")"),0)</f>
        <v>0</v>
      </c>
      <c r="M598" s="172"/>
      <c r="N598" s="178">
        <f ca="1">IFERROR(__xludf.DUMMYFUNCTION("IMPORTRANGE(""https://docs.google.com/spreadsheets/d/11923uPwbBZFjjGgGUA6NLw09EwE0CqkOc4q9oUmW1yo/edit?usp=sharing"",""แม่ฮ่องสอน!M493"")"),0)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IFERROR(__xludf.DUMMYFUNCTION("IMPORTRANGE(""https://docs.google.com/spreadsheets/d/11923uPwbBZFjjGgGUA6NLw09EwE0CqkOc4q9oUmW1yo/edit?usp=sharing"",""แม่ฮ่องสอน!L494"")"),6950)</f>
        <v>6950</v>
      </c>
      <c r="M599" s="173"/>
      <c r="N599" s="178">
        <f ca="1">IFERROR(__xludf.DUMMYFUNCTION("IMPORTRANGE(""https://docs.google.com/spreadsheets/d/11923uPwbBZFjjGgGUA6NLw09EwE0CqkOc4q9oUmW1yo/edit?usp=sharing"",""แม่ฮ่องสอน!M494"")"),2140)</f>
        <v>2140</v>
      </c>
      <c r="O599" s="178">
        <f t="shared" ca="1" si="126"/>
        <v>30.791366906474821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IFERROR(__xludf.DUMMYFUNCTION("IMPORTRANGE(""https://docs.google.com/spreadsheets/d/11923uPwbBZFjjGgGUA6NLw09EwE0CqkOc4q9oUmW1yo/edit?usp=sharing"",""แม่ฮ่องสอน!L495"")"),0)</f>
        <v>0</v>
      </c>
      <c r="M600" s="178"/>
      <c r="N600" s="178">
        <f ca="1">IFERROR(__xludf.DUMMYFUNCTION("IMPORTRANGE(""https://docs.google.com/spreadsheets/d/11923uPwbBZFjjGgGUA6NLw09EwE0CqkOc4q9oUmW1yo/edit?usp=sharing"",""แม่ฮ่องสอน!M495"")"),0)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IFERROR(__xludf.DUMMYFUNCTION("IMPORTRANGE(""https://docs.google.com/spreadsheets/d/11923uPwbBZFjjGgGUA6NLw09EwE0CqkOc4q9oUmW1yo/edit?usp=sharing"",""แม่ฮ่องสอน!L496"")"),6950)</f>
        <v>6950</v>
      </c>
      <c r="M601" s="178"/>
      <c r="N601" s="178">
        <f ca="1">IFERROR(__xludf.DUMMYFUNCTION("IMPORTRANGE(""https://docs.google.com/spreadsheets/d/11923uPwbBZFjjGgGUA6NLw09EwE0CqkOc4q9oUmW1yo/edit?usp=sharing"",""แม่ฮ่องสอน!M496"")"),2140)</f>
        <v>2140</v>
      </c>
      <c r="O601" s="178">
        <f t="shared" ca="1" si="126"/>
        <v>30.791366906474821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IFERROR(__xludf.DUMMYFUNCTION("IMPORTRANGE(""https://docs.google.com/spreadsheets/d/11923uPwbBZFjjGgGUA6NLw09EwE0CqkOc4q9oUmW1yo/edit?usp=sharing"",""แม่ฮ่องสอน!M497"")"),0)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IFERROR(__xludf.DUMMYFUNCTION("IMPORTRANGE(""https://docs.google.com/spreadsheets/d/11923uPwbBZFjjGgGUA6NLw09EwE0CqkOc4q9oUmW1yo/edit?usp=sharing"",""แม่ฮ่องสอน!M498"")"),0)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IFERROR(__xludf.DUMMYFUNCTION("IMPORTRANGE(""https://docs.google.com/spreadsheets/d/11923uPwbBZFjjGgGUA6NLw09EwE0CqkOc4q9oUmW1yo/edit?usp=sharing"",""แม่ฮ่องสอน!M499"")"),0)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IFERROR(__xludf.DUMMYFUNCTION("IMPORTRANGE(""https://docs.google.com/spreadsheets/d/11923uPwbBZFjjGgGUA6NLw09EwE0CqkOc4q9oUmW1yo/edit?usp=sharing"",""แม่ฮ่องสอน!M500"")"),2140)</f>
        <v>2140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IFERROR(__xludf.DUMMYFUNCTION("IMPORTRANGE(""https://docs.google.com/spreadsheets/d/11923uPwbBZFjjGgGUA6NLw09EwE0CqkOc4q9oUmW1yo/edit?usp=sharing"",""แม่ฮ่องสอน!J502"")"),0)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IFERROR(__xludf.DUMMYFUNCTION("IMPORTRANGE(""https://docs.google.com/spreadsheets/d/11923uPwbBZFjjGgGUA6NLw09EwE0CqkOc4q9oUmW1yo/edit?usp=sharing"",""แม่ฮ่องสอน!J503"")"),1)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IFERROR(__xludf.DUMMYFUNCTION("IMPORTRANGE(""https://docs.google.com/spreadsheets/d/11923uPwbBZFjjGgGUA6NLw09EwE0CqkOc4q9oUmW1yo/edit?usp=sharing"",""แม่ฮ่องสอน!J166"")"),0)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IFERROR(__xludf.DUMMYFUNCTION("IMPORTRANGE(""https://docs.google.com/spreadsheets/d/11923uPwbBZFjjGgGUA6NLw09EwE0CqkOc4q9oUmW1yo/edit?usp=sharing"",""แม่ฮ่องสอน!J166"")"),0)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IFERROR(__xludf.DUMMYFUNCTION("IMPORTRANGE(""https://docs.google.com/spreadsheets/d/11923uPwbBZFjjGgGUA6NLw09EwE0CqkOc4q9oUmW1yo/edit?usp=sharing"",""แม่ฮ่องสอน!I506"")"),50)</f>
        <v>50</v>
      </c>
      <c r="J611" s="170">
        <f ca="1">IFERROR(__xludf.DUMMYFUNCTION("IMPORTRANGE(""https://docs.google.com/spreadsheets/d/11923uPwbBZFjjGgGUA6NLw09EwE0CqkOc4q9oUmW1yo/edit?usp=sharing"",""แม่ฮ่องสอน!J506"")"),0)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IFERROR(__xludf.DUMMYFUNCTION("IMPORTRANGE(""https://docs.google.com/spreadsheets/d/11923uPwbBZFjjGgGUA6NLw09EwE0CqkOc4q9oUmW1yo/edit?usp=sharing"",""แม่ฮ่องสอน!I507"")"),0)</f>
        <v>0</v>
      </c>
      <c r="J612" s="207">
        <f ca="1">IFERROR(__xludf.DUMMYFUNCTION("IMPORTRANGE(""https://docs.google.com/spreadsheets/d/11923uPwbBZFjjGgGUA6NLw09EwE0CqkOc4q9oUmW1yo/edit?usp=sharing"",""แม่ฮ่องสอน!J507"")"),0)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IFERROR(__xludf.DUMMYFUNCTION("IMPORTRANGE(""https://docs.google.com/spreadsheets/d/11923uPwbBZFjjGgGUA6NLw09EwE0CqkOc4q9oUmW1yo/edit?usp=sharing"",""แม่ฮ่องสอน!I508"")"),0)</f>
        <v>0</v>
      </c>
      <c r="J613" s="207">
        <f ca="1">IFERROR(__xludf.DUMMYFUNCTION("IMPORTRANGE(""https://docs.google.com/spreadsheets/d/11923uPwbBZFjjGgGUA6NLw09EwE0CqkOc4q9oUmW1yo/edit?usp=sharing"",""แม่ฮ่องสอน!J508"")"),0)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IFERROR(__xludf.DUMMYFUNCTION("IMPORTRANGE(""https://docs.google.com/spreadsheets/d/11923uPwbBZFjjGgGUA6NLw09EwE0CqkOc4q9oUmW1yo/edit?usp=sharing"",""แม่ฮ่องสอน!I509"")"),0)</f>
        <v>0</v>
      </c>
      <c r="J614" s="207">
        <f ca="1">IFERROR(__xludf.DUMMYFUNCTION("IMPORTRANGE(""https://docs.google.com/spreadsheets/d/11923uPwbBZFjjGgGUA6NLw09EwE0CqkOc4q9oUmW1yo/edit?usp=sharing"",""แม่ฮ่องสอน!J509"")"),0)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IFERROR(__xludf.DUMMYFUNCTION("IMPORTRANGE(""https://docs.google.com/spreadsheets/d/11923uPwbBZFjjGgGUA6NLw09EwE0CqkOc4q9oUmW1yo/edit?usp=sharing"",""แม่ฮ่องสอน!I510"")"),0)</f>
        <v>0</v>
      </c>
      <c r="J615" s="207">
        <f ca="1">IFERROR(__xludf.DUMMYFUNCTION("IMPORTRANGE(""https://docs.google.com/spreadsheets/d/11923uPwbBZFjjGgGUA6NLw09EwE0CqkOc4q9oUmW1yo/edit?usp=sharing"",""แม่ฮ่องสอน!J510"")"),0)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IFERROR(__xludf.DUMMYFUNCTION("IMPORTRANGE(""https://docs.google.com/spreadsheets/d/11923uPwbBZFjjGgGUA6NLw09EwE0CqkOc4q9oUmW1yo/edit?usp=sharing"",""แม่ฮ่องสอน!I511"")"),0)</f>
        <v>0</v>
      </c>
      <c r="J616" s="207">
        <f ca="1">IFERROR(__xludf.DUMMYFUNCTION("IMPORTRANGE(""https://docs.google.com/spreadsheets/d/11923uPwbBZFjjGgGUA6NLw09EwE0CqkOc4q9oUmW1yo/edit?usp=sharing"",""แม่ฮ่องสอน!J511"")"),0)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IFERROR(__xludf.DUMMYFUNCTION("IMPORTRANGE(""https://docs.google.com/spreadsheets/d/11923uPwbBZFjjGgGUA6NLw09EwE0CqkOc4q9oUmW1yo/edit?usp=sharing"",""แม่ฮ่องสอน!I512"")"),0)</f>
        <v>0</v>
      </c>
      <c r="J617" s="197">
        <f ca="1">IFERROR(__xludf.DUMMYFUNCTION("IMPORTRANGE(""https://docs.google.com/spreadsheets/d/11923uPwbBZFjjGgGUA6NLw09EwE0CqkOc4q9oUmW1yo/edit?usp=sharing"",""แม่ฮ่องสอน!J512"")"),0)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IFERROR(__xludf.DUMMYFUNCTION("IMPORTRANGE(""https://docs.google.com/spreadsheets/d/11923uPwbBZFjjGgGUA6NLw09EwE0CqkOc4q9oUmW1yo/edit?usp=sharing"",""แม่ฮ่องสอน!I513"")"),0)</f>
        <v>0</v>
      </c>
      <c r="J618" s="198">
        <f ca="1">IFERROR(__xludf.DUMMYFUNCTION("IMPORTRANGE(""https://docs.google.com/spreadsheets/d/11923uPwbBZFjjGgGUA6NLw09EwE0CqkOc4q9oUmW1yo/edit?usp=sharing"",""แม่ฮ่องสอน!J513"")"),0)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IFERROR(__xludf.DUMMYFUNCTION("IMPORTRANGE(""https://docs.google.com/spreadsheets/d/11923uPwbBZFjjGgGUA6NLw09EwE0CqkOc4q9oUmW1yo/edit?usp=sharing"",""แม่ฮ่องสอน!I514"")"),0)</f>
        <v>0</v>
      </c>
      <c r="J619" s="198">
        <f ca="1">IFERROR(__xludf.DUMMYFUNCTION("IMPORTRANGE(""https://docs.google.com/spreadsheets/d/11923uPwbBZFjjGgGUA6NLw09EwE0CqkOc4q9oUmW1yo/edit?usp=sharing"",""แม่ฮ่องสอน!J514"")"),0)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IFERROR(__xludf.DUMMYFUNCTION("IMPORTRANGE(""https://docs.google.com/spreadsheets/d/11923uPwbBZFjjGgGUA6NLw09EwE0CqkOc4q9oUmW1yo/edit?usp=sharing"",""แม่ฮ่องสอน!I515"")"),0)</f>
        <v>0</v>
      </c>
      <c r="J620" s="212">
        <f ca="1">IFERROR(__xludf.DUMMYFUNCTION("IMPORTRANGE(""https://docs.google.com/spreadsheets/d/11923uPwbBZFjjGgGUA6NLw09EwE0CqkOc4q9oUmW1yo/edit?usp=sharing"",""แม่ฮ่องสอน!J515"")"),0)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IFERROR(__xludf.DUMMYFUNCTION("IMPORTRANGE(""https://docs.google.com/spreadsheets/d/11923uPwbBZFjjGgGUA6NLw09EwE0CqkOc4q9oUmW1yo/edit?usp=sharing"",""แม่ฮ่องสอน!I516"")"),0)</f>
        <v>0</v>
      </c>
      <c r="J621" s="212">
        <f ca="1">IFERROR(__xludf.DUMMYFUNCTION("IMPORTRANGE(""https://docs.google.com/spreadsheets/d/11923uPwbBZFjjGgGUA6NLw09EwE0CqkOc4q9oUmW1yo/edit?usp=sharing"",""แม่ฮ่องสอน!J516"")"),0)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IFERROR(__xludf.DUMMYFUNCTION("IMPORTRANGE(""https://docs.google.com/spreadsheets/d/11923uPwbBZFjjGgGUA6NLw09EwE0CqkOc4q9oUmW1yo/edit?usp=sharing"",""แม่ฮ่องสอน!I517"")"),0)</f>
        <v>0</v>
      </c>
      <c r="J622" s="198">
        <f ca="1">IFERROR(__xludf.DUMMYFUNCTION("IMPORTRANGE(""https://docs.google.com/spreadsheets/d/11923uPwbBZFjjGgGUA6NLw09EwE0CqkOc4q9oUmW1yo/edit?usp=sharing"",""แม่ฮ่องสอน!J517"")"),0)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IFERROR(__xludf.DUMMYFUNCTION("IMPORTRANGE(""https://docs.google.com/spreadsheets/d/11923uPwbBZFjjGgGUA6NLw09EwE0CqkOc4q9oUmW1yo/edit?usp=sharing"",""แม่ฮ่องสอน!I518"")"),0)</f>
        <v>0</v>
      </c>
      <c r="J623" s="198">
        <f ca="1">IFERROR(__xludf.DUMMYFUNCTION("IMPORTRANGE(""https://docs.google.com/spreadsheets/d/11923uPwbBZFjjGgGUA6NLw09EwE0CqkOc4q9oUmW1yo/edit?usp=sharing"",""แม่ฮ่องสอน!J518"")"),0)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IFERROR(__xludf.DUMMYFUNCTION("IMPORTRANGE(""https://docs.google.com/spreadsheets/d/11923uPwbBZFjjGgGUA6NLw09EwE0CqkOc4q9oUmW1yo/edit?usp=sharing"",""แม่ฮ่องสอน!I519"")"),0)</f>
        <v>0</v>
      </c>
      <c r="J624" s="197">
        <f ca="1">IFERROR(__xludf.DUMMYFUNCTION("IMPORTRANGE(""https://docs.google.com/spreadsheets/d/11923uPwbBZFjjGgGUA6NLw09EwE0CqkOc4q9oUmW1yo/edit?usp=sharing"",""แม่ฮ่องสอน!J519"")"),0)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IFERROR(__xludf.DUMMYFUNCTION("IMPORTRANGE(""https://docs.google.com/spreadsheets/d/11923uPwbBZFjjGgGUA6NLw09EwE0CqkOc4q9oUmW1yo/edit?usp=sharing"",""แม่ฮ่องสอน!I520"")"),0)</f>
        <v>0</v>
      </c>
      <c r="J625" s="198">
        <f ca="1">IFERROR(__xludf.DUMMYFUNCTION("IMPORTRANGE(""https://docs.google.com/spreadsheets/d/11923uPwbBZFjjGgGUA6NLw09EwE0CqkOc4q9oUmW1yo/edit?usp=sharing"",""แม่ฮ่องสอน!J520"")"),0)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IFERROR(__xludf.DUMMYFUNCTION("IMPORTRANGE(""https://docs.google.com/spreadsheets/d/11923uPwbBZFjjGgGUA6NLw09EwE0CqkOc4q9oUmW1yo/edit?usp=sharing"",""แม่ฮ่องสอน!I521"")"),0)</f>
        <v>0</v>
      </c>
      <c r="J626" s="198">
        <f ca="1">IFERROR(__xludf.DUMMYFUNCTION("IMPORTRANGE(""https://docs.google.com/spreadsheets/d/11923uPwbBZFjjGgGUA6NLw09EwE0CqkOc4q9oUmW1yo/edit?usp=sharing"",""แม่ฮ่องสอน!J521"")"),0)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49">
        <f ca="1">IFERROR(__xludf.DUMMYFUNCTION("IMPORTRANGE(""https://docs.google.com/spreadsheets/d/11923uPwbBZFjjGgGUA6NLw09EwE0CqkOc4q9oUmW1yo/edit?usp=sharing"",""แม่ฮ่องสอน!J523"")"),145127.27)</f>
        <v>145127.26999999999</v>
      </c>
      <c r="K628" s="350">
        <f t="shared" ref="K628:K635" ca="1" si="129">IF(I628&gt;0,J628*100/I628,0)</f>
        <v>17.29584191343638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IFERROR(__xludf.DUMMYFUNCTION("IMPORTRANGE(""https://docs.google.com/spreadsheets/d/11923uPwbBZFjjGgGUA6NLw09EwE0CqkOc4q9oUmW1yo/edit?usp=sharing"",""แม่ฮ่องสอน!I524"")"),84)</f>
        <v>84</v>
      </c>
      <c r="J629" s="349">
        <f ca="1">IFERROR(__xludf.DUMMYFUNCTION("IMPORTRANGE(""https://docs.google.com/spreadsheets/d/11923uPwbBZFjjGgGUA6NLw09EwE0CqkOc4q9oUmW1yo/edit?usp=sharing"",""แม่ฮ่องสอน!J524"")"),13)</f>
        <v>13</v>
      </c>
      <c r="K629" s="350">
        <f t="shared" ca="1" si="129"/>
        <v>15.476190476190476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49">
        <f ca="1">IFERROR(__xludf.DUMMYFUNCTION("IMPORTRANGE(""https://docs.google.com/spreadsheets/d/11923uPwbBZFjjGgGUA6NLw09EwE0CqkOc4q9oUmW1yo/edit?usp=sharing"",""แม่ฮ่องสอน!J525"")"),36293.7)</f>
        <v>36293.699999999997</v>
      </c>
      <c r="K630" s="350">
        <f t="shared" ca="1" si="129"/>
        <v>10.632363384104112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IFERROR(__xludf.DUMMYFUNCTION("IMPORTRANGE(""https://docs.google.com/spreadsheets/d/11923uPwbBZFjjGgGUA6NLw09EwE0CqkOc4q9oUmW1yo/edit?usp=sharing"",""แม่ฮ่องสอน!I526"")"),27)</f>
        <v>27</v>
      </c>
      <c r="J631" s="349">
        <f ca="1">IFERROR(__xludf.DUMMYFUNCTION("IMPORTRANGE(""https://docs.google.com/spreadsheets/d/11923uPwbBZFjjGgGUA6NLw09EwE0CqkOc4q9oUmW1yo/edit?usp=sharing"",""แม่ฮ่องสอน!J526"")"),10)</f>
        <v>10</v>
      </c>
      <c r="K631" s="350">
        <f t="shared" ca="1" si="129"/>
        <v>37.037037037037038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IFERROR(__xludf.DUMMYFUNCTION("IMPORTRANGE(""https://docs.google.com/spreadsheets/d/11923uPwbBZFjjGgGUA6NLw09EwE0CqkOc4q9oUmW1yo/edit?usp=sharing"",""แม่ฮ่องสอน!I527"")"),0)</f>
        <v>0</v>
      </c>
      <c r="J632" s="349">
        <f ca="1">IFERROR(__xludf.DUMMYFUNCTION("IMPORTRANGE(""https://docs.google.com/spreadsheets/d/11923uPwbBZFjjGgGUA6NLw09EwE0CqkOc4q9oUmW1yo/edit?usp=sharing"",""แม่ฮ่องสอน!J527"")"),0)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IFERROR(__xludf.DUMMYFUNCTION("IMPORTRANGE(""https://docs.google.com/spreadsheets/d/11923uPwbBZFjjGgGUA6NLw09EwE0CqkOc4q9oUmW1yo/edit?usp=sharing"",""แม่ฮ่องสอน!I528"")"),0)</f>
        <v>0</v>
      </c>
      <c r="J633" s="349">
        <f ca="1">IFERROR(__xludf.DUMMYFUNCTION("IMPORTRANGE(""https://docs.google.com/spreadsheets/d/11923uPwbBZFjjGgGUA6NLw09EwE0CqkOc4q9oUmW1yo/edit?usp=sharing"",""แม่ฮ่องสอน!J528"")"),0)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IFERROR(__xludf.DUMMYFUNCTION("IMPORTRANGE(""https://docs.google.com/spreadsheets/d/11923uPwbBZFjjGgGUA6NLw09EwE0CqkOc4q9oUmW1yo/edit?usp=sharing"",""แม่ฮ่องสอน!I529"")"),900000)</f>
        <v>900000</v>
      </c>
      <c r="J634" s="349">
        <f ca="1">IFERROR(__xludf.DUMMYFUNCTION("IMPORTRANGE(""https://docs.google.com/spreadsheets/d/11923uPwbBZFjjGgGUA6NLw09EwE0CqkOc4q9oUmW1yo/edit?usp=sharing"",""แม่ฮ่องสอน!J529"")"),0)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IFERROR(__xludf.DUMMYFUNCTION("IMPORTRANGE(""https://docs.google.com/spreadsheets/d/11923uPwbBZFjjGgGUA6NLw09EwE0CqkOc4q9oUmW1yo/edit?usp=sharing"",""แม่ฮ่องสอน!I530"")"),30)</f>
        <v>30</v>
      </c>
      <c r="J635" s="519">
        <f ca="1">IFERROR(__xludf.DUMMYFUNCTION("IMPORTRANGE(""https://docs.google.com/spreadsheets/d/11923uPwbBZFjjGgGUA6NLw09EwE0CqkOc4q9oUmW1yo/edit?usp=sharing"",""แม่ฮ่องสอน!J530"")"),0)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9" sqref="J9"/>
      <selection pane="bottomLeft" activeCell="J9" sqref="J9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8.83203125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262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5355760</v>
      </c>
      <c r="M8" s="25">
        <f t="shared" ca="1" si="0"/>
        <v>1328665</v>
      </c>
      <c r="N8" s="25">
        <f t="shared" ca="1" si="0"/>
        <v>1294214.31</v>
      </c>
      <c r="O8" s="24">
        <f t="shared" ref="O8:O16" ca="1" si="1">IF(L8&gt;0,N8*100/L8,0)</f>
        <v>24.16490488744828</v>
      </c>
      <c r="P8" s="24">
        <f t="shared" ref="P8:P16" ca="1" si="2">IF(M8&gt;0,N8*100/M8,0)</f>
        <v>97.407119928650189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5355760</v>
      </c>
      <c r="M10" s="32">
        <f t="shared" ca="1" si="4"/>
        <v>1328665</v>
      </c>
      <c r="N10" s="32">
        <f t="shared" ca="1" si="4"/>
        <v>1294214.31</v>
      </c>
      <c r="O10" s="31">
        <f t="shared" ca="1" si="1"/>
        <v>24.16490488744828</v>
      </c>
      <c r="P10" s="31">
        <f t="shared" ca="1" si="2"/>
        <v>97.407119928650189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5116360</v>
      </c>
      <c r="M12" s="40">
        <f t="shared" ca="1" si="6"/>
        <v>1328665</v>
      </c>
      <c r="N12" s="40">
        <f t="shared" ca="1" si="6"/>
        <v>1174214.31</v>
      </c>
      <c r="O12" s="40">
        <f t="shared" ca="1" si="1"/>
        <v>22.9501893924587</v>
      </c>
      <c r="P12" s="40">
        <f t="shared" ca="1" si="2"/>
        <v>88.375497962240289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1833600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3282760</v>
      </c>
      <c r="M14" s="40">
        <f t="shared" si="8"/>
        <v>0</v>
      </c>
      <c r="N14" s="40">
        <f t="shared" ca="1" si="8"/>
        <v>277573.30999999994</v>
      </c>
      <c r="O14" s="43">
        <f t="shared" ca="1" si="1"/>
        <v>8.4554859325689335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239400</v>
      </c>
      <c r="M16" s="40">
        <f t="shared" si="10"/>
        <v>0</v>
      </c>
      <c r="N16" s="40">
        <f t="shared" ca="1" si="10"/>
        <v>120000</v>
      </c>
      <c r="O16" s="52">
        <f t="shared" ca="1" si="1"/>
        <v>50.125313283208023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2746825</v>
      </c>
      <c r="M18" s="25">
        <f t="shared" ca="1" si="11"/>
        <v>1328665</v>
      </c>
      <c r="N18" s="25">
        <f t="shared" ca="1" si="11"/>
        <v>1016641</v>
      </c>
      <c r="O18" s="24">
        <f t="shared" ref="O18:O20" ca="1" si="12">IF(L18&gt;0,N18*100/L18,0)</f>
        <v>37.011495089785477</v>
      </c>
      <c r="P18" s="24">
        <f t="shared" ref="P18:P26" ca="1" si="13">IF(M18&gt;0,N18*100/M18,0)</f>
        <v>76.515976562940992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2746825</v>
      </c>
      <c r="M20" s="32">
        <f t="shared" ca="1" si="15"/>
        <v>1328665</v>
      </c>
      <c r="N20" s="32">
        <f t="shared" ca="1" si="15"/>
        <v>1016641</v>
      </c>
      <c r="O20" s="31">
        <f t="shared" ca="1" si="12"/>
        <v>37.011495089785477</v>
      </c>
      <c r="P20" s="31">
        <f t="shared" ca="1" si="13"/>
        <v>76.515976562940992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2507425</v>
      </c>
      <c r="M22" s="44">
        <f t="shared" ca="1" si="18"/>
        <v>1328665</v>
      </c>
      <c r="N22" s="43">
        <f t="shared" ca="1" si="18"/>
        <v>896641</v>
      </c>
      <c r="O22" s="43">
        <f t="shared" ca="1" si="17"/>
        <v>35.759434479595598</v>
      </c>
      <c r="P22" s="43">
        <f t="shared" ca="1" si="13"/>
        <v>67.484354596531105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1833600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673825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239400</v>
      </c>
      <c r="M26" s="52">
        <f t="shared" si="22"/>
        <v>0</v>
      </c>
      <c r="N26" s="52">
        <f t="shared" ca="1" si="22"/>
        <v>120000</v>
      </c>
      <c r="O26" s="52">
        <f t="shared" ca="1" si="17"/>
        <v>50.125313283208023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2608935</v>
      </c>
      <c r="M28" s="25">
        <f t="shared" si="23"/>
        <v>0</v>
      </c>
      <c r="N28" s="25">
        <f t="shared" ca="1" si="23"/>
        <v>277573.30999999994</v>
      </c>
      <c r="O28" s="24">
        <f t="shared" ref="O28:O30" ca="1" si="24">IF(L28&gt;0,N28*100/L28,0)</f>
        <v>10.639334057766863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2608935</v>
      </c>
      <c r="M30" s="32">
        <f t="shared" si="27"/>
        <v>0</v>
      </c>
      <c r="N30" s="32">
        <f t="shared" ca="1" si="27"/>
        <v>277573.30999999994</v>
      </c>
      <c r="O30" s="31">
        <f t="shared" ca="1" si="24"/>
        <v>10.639334057766863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2608935</v>
      </c>
      <c r="M32" s="43">
        <f t="shared" si="30"/>
        <v>0</v>
      </c>
      <c r="N32" s="43">
        <f t="shared" ca="1" si="30"/>
        <v>277573.30999999994</v>
      </c>
      <c r="O32" s="43">
        <f t="shared" ca="1" si="29"/>
        <v>10.639334057766863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2608935</v>
      </c>
      <c r="M34" s="43">
        <f t="shared" si="32"/>
        <v>0</v>
      </c>
      <c r="N34" s="43">
        <f t="shared" ca="1" si="32"/>
        <v>277573.30999999994</v>
      </c>
      <c r="O34" s="43">
        <f t="shared" ca="1" si="29"/>
        <v>10.639334057766863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2746825</v>
      </c>
      <c r="M37" s="57">
        <f t="shared" ca="1" si="33"/>
        <v>1328665</v>
      </c>
      <c r="N37" s="57">
        <f t="shared" ca="1" si="33"/>
        <v>1016641</v>
      </c>
      <c r="O37" s="58">
        <f t="shared" ca="1" si="29"/>
        <v>37.011495089785477</v>
      </c>
      <c r="P37" s="58">
        <f t="shared" ca="1" si="25"/>
        <v>76.515976562940992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644400</v>
      </c>
      <c r="M41" s="81">
        <f t="shared" ca="1" si="34"/>
        <v>322200</v>
      </c>
      <c r="N41" s="81">
        <f t="shared" ca="1" si="34"/>
        <v>229051</v>
      </c>
      <c r="O41" s="80">
        <f t="shared" ref="O41:O43" ca="1" si="35">IF(L41&gt;0,N41*100/L41,0)</f>
        <v>35.544847920546246</v>
      </c>
      <c r="P41" s="80">
        <f t="shared" ref="P41:P43" ca="1" si="36">IF(M41&gt;0,N41*100/M41,0)</f>
        <v>71.089695841092492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644400</v>
      </c>
      <c r="M43" s="81">
        <f t="shared" ca="1" si="38"/>
        <v>322200</v>
      </c>
      <c r="N43" s="81">
        <f t="shared" ca="1" si="38"/>
        <v>229051</v>
      </c>
      <c r="O43" s="80">
        <f t="shared" ca="1" si="35"/>
        <v>35.544847920546246</v>
      </c>
      <c r="P43" s="80">
        <f t="shared" ca="1" si="36"/>
        <v>71.089695841092492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644400</v>
      </c>
      <c r="M45" s="93">
        <f ca="1">IFERROR(__xludf.DUMMYFUNCTION("IMPORTRANGE(""https://docs.google.com/spreadsheets/d/1Yj_ptqi66GCucihVvJfMjLAmec39IyEx_6qawtMGysU/edit?usp=sharing"",""สบก!Q32"")"),322200)</f>
        <v>322200</v>
      </c>
      <c r="N45" s="93">
        <f ca="1">IFERROR(__xludf.DUMMYFUNCTION("IMPORTRANGE(""https://docs.google.com/spreadsheets/d/1Yj_ptqi66GCucihVvJfMjLAmec39IyEx_6qawtMGysU/edit?usp=sharing"",""สบก!R32"")"),229051)</f>
        <v>229051</v>
      </c>
      <c r="O45" s="94">
        <f ca="1">IF(L45&gt;0,N45*100/L45,0)</f>
        <v>35.544847920546246</v>
      </c>
      <c r="P45" s="94">
        <f ca="1">IF(M45&gt;0,N45*100/M45,0)</f>
        <v>71.089695841092492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IFERROR(__xludf.DUMMYFUNCTION("IMPORTRANGE(""https://docs.google.com/spreadsheets/d/1Yj_ptqi66GCucihVvJfMjLAmec39IyEx_6qawtMGysU/edit?usp=sharing"",""สบก!M32"")"),644400)</f>
        <v>644400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IFERROR(__xludf.DUMMYFUNCTION("IMPORTRANGE(""https://docs.google.com/spreadsheets/d/1Yj_ptqi66GCucihVvJfMjLAmec39IyEx_6qawtMGysU/edit?usp=sharing"",""สบก!N32"")"),0)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IFERROR(__xludf.DUMMYFUNCTION("IMPORTRANGE(""https://docs.google.com/spreadsheets/d/1Yj_ptqi66GCucihVvJfMjLAmec39IyEx_6qawtMGysU/edit?usp=sharing"",""สบก!O32"")"),0)</f>
        <v>0</v>
      </c>
      <c r="M49" s="103"/>
      <c r="N49" s="93">
        <f ca="1">IFERROR(__xludf.DUMMYFUNCTION("IMPORTRANGE(""https://docs.google.com/spreadsheets/d/1Yj_ptqi66GCucihVvJfMjLAmec39IyEx_6qawtMGysU/edit?usp=sharing"",""สบก!S32"")"),0)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566000</v>
      </c>
      <c r="M53" s="127">
        <f t="shared" ca="1" si="39"/>
        <v>292000</v>
      </c>
      <c r="N53" s="127">
        <f t="shared" ca="1" si="39"/>
        <v>216265</v>
      </c>
      <c r="O53" s="126">
        <f t="shared" ref="O53:O55" ca="1" si="40">IF(L53&gt;0,N53*100/L53,0)</f>
        <v>38.209363957597176</v>
      </c>
      <c r="P53" s="126">
        <f t="shared" ref="P53:P55" ca="1" si="41">IF(M53&gt;0,N53*100/M53,0)</f>
        <v>74.063356164383563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566000</v>
      </c>
      <c r="M55" s="127">
        <f t="shared" ca="1" si="43"/>
        <v>292000</v>
      </c>
      <c r="N55" s="127">
        <f t="shared" ca="1" si="43"/>
        <v>216265</v>
      </c>
      <c r="O55" s="126">
        <f t="shared" ca="1" si="40"/>
        <v>38.209363957597176</v>
      </c>
      <c r="P55" s="126">
        <f t="shared" ca="1" si="41"/>
        <v>74.063356164383563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566000</v>
      </c>
      <c r="M57" s="93">
        <f ca="1">IFERROR(__xludf.DUMMYFUNCTION("IMPORTRANGE(""https://docs.google.com/spreadsheets/d/1Yj_ptqi66GCucihVvJfMjLAmec39IyEx_6qawtMGysU/edit?usp=sharing"",""สบก!Z32"")"),292000)</f>
        <v>292000</v>
      </c>
      <c r="N57" s="93">
        <f ca="1">IFERROR(__xludf.DUMMYFUNCTION("IMPORTRANGE(""https://docs.google.com/spreadsheets/d/1Yj_ptqi66GCucihVvJfMjLAmec39IyEx_6qawtMGysU/edit?usp=sharing"",""สบก!AA32"")"),216265)</f>
        <v>216265</v>
      </c>
      <c r="O57" s="94">
        <f ca="1">IF(L57&gt;0,N57*100/L57,0)</f>
        <v>38.209363957597176</v>
      </c>
      <c r="P57" s="94">
        <f ca="1">IF(M57&gt;0,N57*100/M57,0)</f>
        <v>74.063356164383563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IFERROR(__xludf.DUMMYFUNCTION("IMPORTRANGE(""https://docs.google.com/spreadsheets/d/1Yj_ptqi66GCucihVvJfMjLAmec39IyEx_6qawtMGysU/edit?usp=sharing"",""สบก!V32"")"),566000)</f>
        <v>566000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IFERROR(__xludf.DUMMYFUNCTION("IMPORTRANGE(""https://docs.google.com/spreadsheets/d/1Yj_ptqi66GCucihVvJfMjLAmec39IyEx_6qawtMGysU/edit?usp=sharing"",""สบก!W32"")"),0)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IFERROR(__xludf.DUMMYFUNCTION("IMPORTRANGE(""https://docs.google.com/spreadsheets/d/1Yj_ptqi66GCucihVvJfMjLAmec39IyEx_6qawtMGysU/edit?usp=sharing"",""สบก!X32"")"),0)</f>
        <v>0</v>
      </c>
      <c r="M61" s="103"/>
      <c r="N61" s="93">
        <f ca="1">IFERROR(__xludf.DUMMYFUNCTION("IMPORTRANGE(""https://docs.google.com/spreadsheets/d/1Yj_ptqi66GCucihVvJfMjLAmec39IyEx_6qawtMGysU/edit?usp=sharing"",""สบก!AB32"")"),0)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IFERROR(__xludf.DUMMYFUNCTION("IMPORTRANGE(""https://docs.google.com/spreadsheets/d/11923uPwbBZFjjGgGUA6NLw09EwE0CqkOc4q9oUmW1yo/edit?usp=sharing"",""ลำปาง!I9"")"),0)</f>
        <v>0</v>
      </c>
      <c r="J64" s="148">
        <f ca="1">IFERROR(__xludf.DUMMYFUNCTION("IMPORTRANGE(""https://docs.google.com/spreadsheets/d/11923uPwbBZFjjGgGUA6NLw09EwE0CqkOc4q9oUmW1yo/edit?usp=sharing"",""ลำปาง!J9"")"),0)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IFERROR(__xludf.DUMMYFUNCTION("IMPORTRANGE(""https://docs.google.com/spreadsheets/d/11923uPwbBZFjjGgGUA6NLw09EwE0CqkOc4q9oUmW1yo/edit?usp=sharing"",""ลำปาง!I10"")"),0)</f>
        <v>0</v>
      </c>
      <c r="J65" s="148">
        <f ca="1">IFERROR(__xludf.DUMMYFUNCTION("IMPORTRANGE(""https://docs.google.com/spreadsheets/d/11923uPwbBZFjjGgGUA6NLw09EwE0CqkOc4q9oUmW1yo/edit?usp=sharing"",""ลำปาง!J10"")"),0)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IFERROR(__xludf.DUMMYFUNCTION("IMPORTRANGE(""https://docs.google.com/spreadsheets/d/1Yj_ptqi66GCucihVvJfMjLAmec39IyEx_6qawtMGysU/edit?usp=sharing"",""สบก!AI32"")"),0)</f>
        <v>0</v>
      </c>
      <c r="N70" s="177">
        <f ca="1">IFERROR(__xludf.DUMMYFUNCTION("IMPORTRANGE(""https://docs.google.com/spreadsheets/d/1Yj_ptqi66GCucihVvJfMjLAmec39IyEx_6qawtMGysU/edit?usp=sharing"",""สบก!AJ32"")"),0)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IFERROR(__xludf.DUMMYFUNCTION("IMPORTRANGE(""https://docs.google.com/spreadsheets/d/1Yj_ptqi66GCucihVvJfMjLAmec39IyEx_6qawtMGysU/edit?usp=sharing"",""สบก!AE32"")"),0)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IFERROR(__xludf.DUMMYFUNCTION("IMPORTRANGE(""https://docs.google.com/spreadsheets/d/1Yj_ptqi66GCucihVvJfMjLAmec39IyEx_6qawtMGysU/edit?usp=sharing"",""สบก!AF32"")"),0)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IFERROR(__xludf.DUMMYFUNCTION("IMPORTRANGE(""https://docs.google.com/spreadsheets/d/1Yj_ptqi66GCucihVvJfMjLAmec39IyEx_6qawtMGysU/edit?usp=sharing"",""สบก!AG32"")"),0)</f>
        <v>0</v>
      </c>
      <c r="M74" s="103"/>
      <c r="N74" s="93">
        <f ca="1">IFERROR(__xludf.DUMMYFUNCTION("IMPORTRANGE(""https://docs.google.com/spreadsheets/d/1Yj_ptqi66GCucihVvJfMjLAmec39IyEx_6qawtMGysU/edit?usp=sharing"",""สบก!AK32"")"),0)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IFERROR(__xludf.DUMMYFUNCTION("IMPORTRANGE(""https://docs.google.com/spreadsheets/d/11923uPwbBZFjjGgGUA6NLw09EwE0CqkOc4q9oUmW1yo/edit?usp=sharing"",""ลำปาง!J16"")"),0)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IFERROR(__xludf.DUMMYFUNCTION("IMPORTRANGE(""https://docs.google.com/spreadsheets/d/11923uPwbBZFjjGgGUA6NLw09EwE0CqkOc4q9oUmW1yo/edit?usp=sharing"",""ลำปาง!J17"")"),0)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IFERROR(__xludf.DUMMYFUNCTION("IMPORTRANGE(""https://docs.google.com/spreadsheets/d/11923uPwbBZFjjGgGUA6NLw09EwE0CqkOc4q9oUmW1yo/edit?usp=sharing"",""ลำปาง!J18"")"),0)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IFERROR(__xludf.DUMMYFUNCTION("IMPORTRANGE(""https://docs.google.com/spreadsheets/d/11923uPwbBZFjjGgGUA6NLw09EwE0CqkOc4q9oUmW1yo/edit?usp=sharing"",""ลำปาง!J19"")"),0)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IFERROR(__xludf.DUMMYFUNCTION("IMPORTRANGE(""https://docs.google.com/spreadsheets/d/11923uPwbBZFjjGgGUA6NLw09EwE0CqkOc4q9oUmW1yo/edit?usp=sharing"",""ลำปาง!I20"")"),0)</f>
        <v>0</v>
      </c>
      <c r="J80" s="210">
        <f ca="1">IFERROR(__xludf.DUMMYFUNCTION("IMPORTRANGE(""https://docs.google.com/spreadsheets/d/11923uPwbBZFjjGgGUA6NLw09EwE0CqkOc4q9oUmW1yo/edit?usp=sharing"",""ลำปาง!J20"")"),0)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IFERROR(__xludf.DUMMYFUNCTION("IMPORTRANGE(""https://docs.google.com/spreadsheets/d/11923uPwbBZFjjGgGUA6NLw09EwE0CqkOc4q9oUmW1yo/edit?usp=sharing"",""ลำปาง!I21"")"),0)</f>
        <v>0</v>
      </c>
      <c r="J81" s="210">
        <f ca="1">IFERROR(__xludf.DUMMYFUNCTION("IMPORTRANGE(""https://docs.google.com/spreadsheets/d/11923uPwbBZFjjGgGUA6NLw09EwE0CqkOc4q9oUmW1yo/edit?usp=sharing"",""ลำปาง!J21"")"),0)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IFERROR(__xludf.DUMMYFUNCTION("IMPORTRANGE(""https://docs.google.com/spreadsheets/d/11923uPwbBZFjjGgGUA6NLw09EwE0CqkOc4q9oUmW1yo/edit?usp=sharing"",""ลำปาง!I22"")"),0)</f>
        <v>0</v>
      </c>
      <c r="J82" s="213">
        <f ca="1">IFERROR(__xludf.DUMMYFUNCTION("IMPORTRANGE(""https://docs.google.com/spreadsheets/d/11923uPwbBZFjjGgGUA6NLw09EwE0CqkOc4q9oUmW1yo/edit?usp=sharing"",""ลำปาง!J22"")"),0)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IFERROR(__xludf.DUMMYFUNCTION("IMPORTRANGE(""https://docs.google.com/spreadsheets/d/11923uPwbBZFjjGgGUA6NLw09EwE0CqkOc4q9oUmW1yo/edit?usp=sharing"",""ลำปาง!I23"")"),0)</f>
        <v>0</v>
      </c>
      <c r="J83" s="213">
        <f ca="1">IFERROR(__xludf.DUMMYFUNCTION("IMPORTRANGE(""https://docs.google.com/spreadsheets/d/11923uPwbBZFjjGgGUA6NLw09EwE0CqkOc4q9oUmW1yo/edit?usp=sharing"",""ลำปาง!J23"")"),0)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IFERROR(__xludf.DUMMYFUNCTION("IMPORTRANGE(""https://docs.google.com/spreadsheets/d/11923uPwbBZFjjGgGUA6NLw09EwE0CqkOc4q9oUmW1yo/edit?usp=sharing"",""ลำปาง!I24"")"),0)</f>
        <v>0</v>
      </c>
      <c r="J84" s="198">
        <f ca="1">IFERROR(__xludf.DUMMYFUNCTION("IMPORTRANGE(""https://docs.google.com/spreadsheets/d/11923uPwbBZFjjGgGUA6NLw09EwE0CqkOc4q9oUmW1yo/edit?usp=sharing"",""ลำปาง!J24"")"),0)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IFERROR(__xludf.DUMMYFUNCTION("IMPORTRANGE(""https://docs.google.com/spreadsheets/d/11923uPwbBZFjjGgGUA6NLw09EwE0CqkOc4q9oUmW1yo/edit?usp=sharing"",""ลำปาง!I25"")"),0)</f>
        <v>0</v>
      </c>
      <c r="J85" s="198">
        <f ca="1">IFERROR(__xludf.DUMMYFUNCTION("IMPORTRANGE(""https://docs.google.com/spreadsheets/d/11923uPwbBZFjjGgGUA6NLw09EwE0CqkOc4q9oUmW1yo/edit?usp=sharing"",""ลำปาง!J25"")"),0)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IFERROR(__xludf.DUMMYFUNCTION("IMPORTRANGE(""https://docs.google.com/spreadsheets/d/11923uPwbBZFjjGgGUA6NLw09EwE0CqkOc4q9oUmW1yo/edit?usp=sharing"",""ลำปาง!I26"")"),0)</f>
        <v>0</v>
      </c>
      <c r="J86" s="213">
        <f ca="1">IFERROR(__xludf.DUMMYFUNCTION("IMPORTRANGE(""https://docs.google.com/spreadsheets/d/11923uPwbBZFjjGgGUA6NLw09EwE0CqkOc4q9oUmW1yo/edit?usp=sharing"",""ลำปาง!J26"")"),0)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IFERROR(__xludf.DUMMYFUNCTION("IMPORTRANGE(""https://docs.google.com/spreadsheets/d/11923uPwbBZFjjGgGUA6NLw09EwE0CqkOc4q9oUmW1yo/edit?usp=sharing"",""ลำปาง!I27"")"),0)</f>
        <v>0</v>
      </c>
      <c r="J87" s="213">
        <f ca="1">IFERROR(__xludf.DUMMYFUNCTION("IMPORTRANGE(""https://docs.google.com/spreadsheets/d/11923uPwbBZFjjGgGUA6NLw09EwE0CqkOc4q9oUmW1yo/edit?usp=sharing"",""ลำปาง!J27"")"),0)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IFERROR(__xludf.DUMMYFUNCTION("IMPORTRANGE(""https://docs.google.com/spreadsheets/d/11923uPwbBZFjjGgGUA6NLw09EwE0CqkOc4q9oUmW1yo/edit?usp=sharing"",""ลำปาง!I28"")"),0)</f>
        <v>0</v>
      </c>
      <c r="J88" s="213">
        <f ca="1">IFERROR(__xludf.DUMMYFUNCTION("IMPORTRANGE(""https://docs.google.com/spreadsheets/d/11923uPwbBZFjjGgGUA6NLw09EwE0CqkOc4q9oUmW1yo/edit?usp=sharing"",""ลำปาง!J28"")"),0)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IFERROR(__xludf.DUMMYFUNCTION("IMPORTRANGE(""https://docs.google.com/spreadsheets/d/11923uPwbBZFjjGgGUA6NLw09EwE0CqkOc4q9oUmW1yo/edit?usp=sharing"",""ลำปาง!J29"")"),0)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IFERROR(__xludf.DUMMYFUNCTION("IMPORTRANGE(""https://docs.google.com/spreadsheets/d/11923uPwbBZFjjGgGUA6NLw09EwE0CqkOc4q9oUmW1yo/edit?usp=sharing"",""ลำปาง!J30"")"),0)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IFERROR(__xludf.DUMMYFUNCTION("IMPORTRANGE(""https://docs.google.com/spreadsheets/d/11923uPwbBZFjjGgGUA6NLw09EwE0CqkOc4q9oUmW1yo/edit?usp=sharing"",""ลำปาง!I32"")"),4)</f>
        <v>4</v>
      </c>
      <c r="J92" s="148">
        <f ca="1">IFERROR(__xludf.DUMMYFUNCTION("IMPORTRANGE(""https://docs.google.com/spreadsheets/d/11923uPwbBZFjjGgGUA6NLw09EwE0CqkOc4q9oUmW1yo/edit?usp=sharing"",""ลำปาง!J32"")"),0)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IFERROR(__xludf.DUMMYFUNCTION("IMPORTRANGE(""https://docs.google.com/spreadsheets/d/11923uPwbBZFjjGgGUA6NLw09EwE0CqkOc4q9oUmW1yo/edit?usp=sharing"",""ลำปาง!I33"")"),1)</f>
        <v>1</v>
      </c>
      <c r="J93" s="148">
        <f ca="1">IFERROR(__xludf.DUMMYFUNCTION("IMPORTRANGE(""https://docs.google.com/spreadsheets/d/11923uPwbBZFjjGgGUA6NLw09EwE0CqkOc4q9oUmW1yo/edit?usp=sharing"",""ลำปาง!J33"")"),0)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7745</v>
      </c>
      <c r="O94" s="157">
        <f t="shared" ref="O94:O96" ca="1" si="53">IF(L94&gt;0,N94*100/L94,0)</f>
        <v>3.6107226107226107</v>
      </c>
      <c r="P94" s="157">
        <f t="shared" ref="P94:P96" ca="1" si="54">IF(M94&gt;0,N94*100/M94,0)</f>
        <v>11.268732722246472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7745</v>
      </c>
      <c r="O96" s="162">
        <f t="shared" ca="1" si="53"/>
        <v>3.6107226107226107</v>
      </c>
      <c r="P96" s="162">
        <f t="shared" ca="1" si="54"/>
        <v>11.268732722246472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IFERROR(__xludf.DUMMYFUNCTION("IMPORTRANGE(""https://docs.google.com/spreadsheets/d/1Yj_ptqi66GCucihVvJfMjLAmec39IyEx_6qawtMGysU/edit?usp=sharing"",""สบก!AR32"")"),68730)</f>
        <v>68730</v>
      </c>
      <c r="N98" s="177">
        <f ca="1">IFERROR(__xludf.DUMMYFUNCTION("IMPORTRANGE(""https://docs.google.com/spreadsheets/d/1Yj_ptqi66GCucihVvJfMjLAmec39IyEx_6qawtMGysU/edit?usp=sharing"",""สบก!AS32"")"),7745)</f>
        <v>7745</v>
      </c>
      <c r="O98" s="178">
        <f ca="1">IF(L98&gt;0,N98*100/L98,0)</f>
        <v>6.3431613431613432</v>
      </c>
      <c r="P98" s="178">
        <f ca="1">IF(M98&gt;0,N98*100/M98,0)</f>
        <v>11.268732722246472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IFERROR(__xludf.DUMMYFUNCTION("IMPORTRANGE(""https://docs.google.com/spreadsheets/d/1Yj_ptqi66GCucihVvJfMjLAmec39IyEx_6qawtMGysU/edit?usp=sharing"",""สบก!AN32"")"),0)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IFERROR(__xludf.DUMMYFUNCTION("IMPORTRANGE(""https://docs.google.com/spreadsheets/d/1Yj_ptqi66GCucihVvJfMjLAmec39IyEx_6qawtMGysU/edit?usp=sharing"",""สบก!AO32"")"),122100)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IFERROR(__xludf.DUMMYFUNCTION("IMPORTRANGE(""https://docs.google.com/spreadsheets/d/1Yj_ptqi66GCucihVvJfMjLAmec39IyEx_6qawtMGysU/edit?usp=sharing"",""สบก!AP32"")"),92400)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IFERROR(__xludf.DUMMYFUNCTION("IMPORTRANGE(""https://docs.google.com/spreadsheets/d/1Yj_ptqi66GCucihVvJfMjLAmec39IyEx_6qawtMGysU/edit?usp=sharing"",""สบก!AT32"")"),0)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IFERROR(__xludf.DUMMYFUNCTION("IMPORTRANGE(""https://docs.google.com/spreadsheets/d/11923uPwbBZFjjGgGUA6NLw09EwE0CqkOc4q9oUmW1yo/edit?usp=sharing"",""ลำปาง!J39"")"),0)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IFERROR(__xludf.DUMMYFUNCTION("IMPORTRANGE(""https://docs.google.com/spreadsheets/d/11923uPwbBZFjjGgGUA6NLw09EwE0CqkOc4q9oUmW1yo/edit?usp=sharing"",""ลำปาง!J40"")"),1)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IFERROR(__xludf.DUMMYFUNCTION("IMPORTRANGE(""https://docs.google.com/spreadsheets/d/11923uPwbBZFjjGgGUA6NLw09EwE0CqkOc4q9oUmW1yo/edit?usp=sharing"",""ลำปาง!J41"")"),0)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IFERROR(__xludf.DUMMYFUNCTION("IMPORTRANGE(""https://docs.google.com/spreadsheets/d/11923uPwbBZFjjGgGUA6NLw09EwE0CqkOc4q9oUmW1yo/edit?usp=sharing"",""ลำปาง!J42"")"),0)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IFERROR(__xludf.DUMMYFUNCTION("IMPORTRANGE(""https://docs.google.com/spreadsheets/d/11923uPwbBZFjjGgGUA6NLw09EwE0CqkOc4q9oUmW1yo/edit?usp=sharing"",""ลำปาง!I43"")"),1)</f>
        <v>1</v>
      </c>
      <c r="J108" s="213">
        <f ca="1">IFERROR(__xludf.DUMMYFUNCTION("IMPORTRANGE(""https://docs.google.com/spreadsheets/d/11923uPwbBZFjjGgGUA6NLw09EwE0CqkOc4q9oUmW1yo/edit?usp=sharing"",""ลำปาง!J43"")"),0)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IFERROR(__xludf.DUMMYFUNCTION("IMPORTRANGE(""https://docs.google.com/spreadsheets/d/11923uPwbBZFjjGgGUA6NLw09EwE0CqkOc4q9oUmW1yo/edit?usp=sharing"",""ลำปาง!I44"")"),4)</f>
        <v>4</v>
      </c>
      <c r="J109" s="213">
        <f ca="1">IFERROR(__xludf.DUMMYFUNCTION("IMPORTRANGE(""https://docs.google.com/spreadsheets/d/11923uPwbBZFjjGgGUA6NLw09EwE0CqkOc4q9oUmW1yo/edit?usp=sharing"",""ลำปาง!J44"")"),0)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IFERROR(__xludf.DUMMYFUNCTION("IMPORTRANGE(""https://docs.google.com/spreadsheets/d/11923uPwbBZFjjGgGUA6NLw09EwE0CqkOc4q9oUmW1yo/edit?usp=sharing"",""ลำปาง!I45"")"),4)</f>
        <v>4</v>
      </c>
      <c r="J110" s="213">
        <f ca="1">IFERROR(__xludf.DUMMYFUNCTION("IMPORTRANGE(""https://docs.google.com/spreadsheets/d/11923uPwbBZFjjGgGUA6NLw09EwE0CqkOc4q9oUmW1yo/edit?usp=sharing"",""ลำปาง!J45"")"),4)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IFERROR(__xludf.DUMMYFUNCTION("IMPORTRANGE(""https://docs.google.com/spreadsheets/d/11923uPwbBZFjjGgGUA6NLw09EwE0CqkOc4q9oUmW1yo/edit?usp=sharing"",""ลำปาง!I46"")"),4)</f>
        <v>4</v>
      </c>
      <c r="J111" s="213">
        <f ca="1">IFERROR(__xludf.DUMMYFUNCTION("IMPORTRANGE(""https://docs.google.com/spreadsheets/d/11923uPwbBZFjjGgGUA6NLw09EwE0CqkOc4q9oUmW1yo/edit?usp=sharing"",""ลำปาง!J46"")"),0)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IFERROR(__xludf.DUMMYFUNCTION("IMPORTRANGE(""https://docs.google.com/spreadsheets/d/11923uPwbBZFjjGgGUA6NLw09EwE0CqkOc4q9oUmW1yo/edit?usp=sharing"",""ลำปาง!I47"")"),4)</f>
        <v>4</v>
      </c>
      <c r="J112" s="213">
        <f ca="1">IFERROR(__xludf.DUMMYFUNCTION("IMPORTRANGE(""https://docs.google.com/spreadsheets/d/11923uPwbBZFjjGgGUA6NLw09EwE0CqkOc4q9oUmW1yo/edit?usp=sharing"",""ลำปาง!J47"")"),0)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IFERROR(__xludf.DUMMYFUNCTION("IMPORTRANGE(""https://docs.google.com/spreadsheets/d/11923uPwbBZFjjGgGUA6NLw09EwE0CqkOc4q9oUmW1yo/edit?usp=sharing"",""ลำปาง!I48"")"),1)</f>
        <v>1</v>
      </c>
      <c r="J113" s="213">
        <f ca="1">IFERROR(__xludf.DUMMYFUNCTION("IMPORTRANGE(""https://docs.google.com/spreadsheets/d/11923uPwbBZFjjGgGUA6NLw09EwE0CqkOc4q9oUmW1yo/edit?usp=sharing"",""ลำปาง!J48"")"),0)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IFERROR(__xludf.DUMMYFUNCTION("IMPORTRANGE(""https://docs.google.com/spreadsheets/d/11923uPwbBZFjjGgGUA6NLw09EwE0CqkOc4q9oUmW1yo/edit?usp=sharing"",""ลำปาง!J49"")"),0)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IFERROR(__xludf.DUMMYFUNCTION("IMPORTRANGE(""https://docs.google.com/spreadsheets/d/11923uPwbBZFjjGgGUA6NLw09EwE0CqkOc4q9oUmW1yo/edit?usp=sharing"",""ลำปาง!J50"")"),0)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IFERROR(__xludf.DUMMYFUNCTION("IMPORTRANGE(""https://docs.google.com/spreadsheets/d/11923uPwbBZFjjGgGUA6NLw09EwE0CqkOc4q9oUmW1yo/edit?usp=sharing"",""ลำปาง!I52"")"),0)</f>
        <v>0</v>
      </c>
      <c r="J117" s="148">
        <f ca="1">IFERROR(__xludf.DUMMYFUNCTION("IMPORTRANGE(""https://docs.google.com/spreadsheets/d/11923uPwbBZFjjGgGUA6NLw09EwE0CqkOc4q9oUmW1yo/edit?usp=sharing"",""ลำปาง!J52"")"),0)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IFERROR(__xludf.DUMMYFUNCTION("IMPORTRANGE(""https://docs.google.com/spreadsheets/d/1Yj_ptqi66GCucihVvJfMjLAmec39IyEx_6qawtMGysU/edit?usp=sharing"",""สบก!BA32"")"),0)</f>
        <v>0</v>
      </c>
      <c r="N122" s="177">
        <f ca="1">IFERROR(__xludf.DUMMYFUNCTION("IMPORTRANGE(""https://docs.google.com/spreadsheets/d/1Yj_ptqi66GCucihVvJfMjLAmec39IyEx_6qawtMGysU/edit?usp=sharing"",""สบก!BB32"")"),0)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IFERROR(__xludf.DUMMYFUNCTION("IMPORTRANGE(""https://docs.google.com/spreadsheets/d/1Yj_ptqi66GCucihVvJfMjLAmec39IyEx_6qawtMGysU/edit?usp=sharing"",""สบก!AW32"")"),0)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IFERROR(__xludf.DUMMYFUNCTION("IMPORTRANGE(""https://docs.google.com/spreadsheets/d/1Yj_ptqi66GCucihVvJfMjLAmec39IyEx_6qawtMGysU/edit?usp=sharing"",""สบก!AX32"")"),0)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IFERROR(__xludf.DUMMYFUNCTION("IMPORTRANGE(""https://docs.google.com/spreadsheets/d/1Yj_ptqi66GCucihVvJfMjLAmec39IyEx_6qawtMGysU/edit?usp=sharing"",""สบก!AY32"")"),0)</f>
        <v>0</v>
      </c>
      <c r="M126" s="103"/>
      <c r="N126" s="93">
        <f ca="1">IFERROR(__xludf.DUMMYFUNCTION("IMPORTRANGE(""https://docs.google.com/spreadsheets/d/1Yj_ptqi66GCucihVvJfMjLAmec39IyEx_6qawtMGysU/edit?usp=sharing"",""สบก!BC32"")"),0)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263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IFERROR(__xludf.DUMMYFUNCTION("IMPORTRANGE(""https://docs.google.com/spreadsheets/d/11923uPwbBZFjjGgGUA6NLw09EwE0CqkOc4q9oUmW1yo/edit?usp=sharing"",""ลำปาง!J58"")"),0)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IFERROR(__xludf.DUMMYFUNCTION("IMPORTRANGE(""https://docs.google.com/spreadsheets/d/11923uPwbBZFjjGgGUA6NLw09EwE0CqkOc4q9oUmW1yo/edit?usp=sharing"",""ลำปาง!J59"")"),0)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IFERROR(__xludf.DUMMYFUNCTION("IMPORTRANGE(""https://docs.google.com/spreadsheets/d/11923uPwbBZFjjGgGUA6NLw09EwE0CqkOc4q9oUmW1yo/edit?usp=sharing"",""ลำปาง!J60"")"),0)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IFERROR(__xludf.DUMMYFUNCTION("IMPORTRANGE(""https://docs.google.com/spreadsheets/d/11923uPwbBZFjjGgGUA6NLw09EwE0CqkOc4q9oUmW1yo/edit?usp=sharing"",""ลำปาง!J61"")"),0)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IFERROR(__xludf.DUMMYFUNCTION("IMPORTRANGE(""https://docs.google.com/spreadsheets/d/11923uPwbBZFjjGgGUA6NLw09EwE0CqkOc4q9oUmW1yo/edit?usp=sharing"",""ลำปาง!I62"")"),0)</f>
        <v>0</v>
      </c>
      <c r="J132" s="213">
        <f ca="1">IFERROR(__xludf.DUMMYFUNCTION("IMPORTRANGE(""https://docs.google.com/spreadsheets/d/11923uPwbBZFjjGgGUA6NLw09EwE0CqkOc4q9oUmW1yo/edit?usp=sharing"",""ลำปาง!J62"")"),0)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IFERROR(__xludf.DUMMYFUNCTION("IMPORTRANGE(""https://docs.google.com/spreadsheets/d/11923uPwbBZFjjGgGUA6NLw09EwE0CqkOc4q9oUmW1yo/edit?usp=sharing"",""ลำปาง!I63"")"),0)</f>
        <v>0</v>
      </c>
      <c r="J133" s="213">
        <f ca="1">IFERROR(__xludf.DUMMYFUNCTION("IMPORTRANGE(""https://docs.google.com/spreadsheets/d/11923uPwbBZFjjGgGUA6NLw09EwE0CqkOc4q9oUmW1yo/edit?usp=sharing"",""ลำปาง!J63"")"),0)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IFERROR(__xludf.DUMMYFUNCTION("IMPORTRANGE(""https://docs.google.com/spreadsheets/d/11923uPwbBZFjjGgGUA6NLw09EwE0CqkOc4q9oUmW1yo/edit?usp=sharing"",""ลำปาง!J64"")"),0)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IFERROR(__xludf.DUMMYFUNCTION("IMPORTRANGE(""https://docs.google.com/spreadsheets/d/11923uPwbBZFjjGgGUA6NLw09EwE0CqkOc4q9oUmW1yo/edit?usp=sharing"",""ลำปาง!J65"")"),0)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IFERROR(__xludf.DUMMYFUNCTION("IMPORTRANGE(""https://docs.google.com/spreadsheets/d/11923uPwbBZFjjGgGUA6NLw09EwE0CqkOc4q9oUmW1yo/edit?usp=sharing"",""ลำปาง!I68"")"),0)</f>
        <v>0</v>
      </c>
      <c r="J138" s="276">
        <f ca="1">IFERROR(__xludf.DUMMYFUNCTION("IMPORTRANGE(""https://docs.google.com/spreadsheets/d/11923uPwbBZFjjGgGUA6NLw09EwE0CqkOc4q9oUmW1yo/edit?usp=sharing"",""ลำปาง!J68"")"),0)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69000</v>
      </c>
      <c r="M140" s="158">
        <f t="shared" ca="1" si="64"/>
        <v>45750</v>
      </c>
      <c r="N140" s="158">
        <f t="shared" ca="1" si="64"/>
        <v>13140</v>
      </c>
      <c r="O140" s="157">
        <f t="shared" ref="O140:O142" ca="1" si="65">IF(L140&gt;0,N140*100/L140,0)</f>
        <v>19.043478260869566</v>
      </c>
      <c r="P140" s="157">
        <f t="shared" ref="P140:P142" ca="1" si="66">IF(M140&gt;0,N140*100/M140,0)</f>
        <v>28.721311475409838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69000</v>
      </c>
      <c r="M142" s="163">
        <f t="shared" ca="1" si="68"/>
        <v>45750</v>
      </c>
      <c r="N142" s="163">
        <f t="shared" ca="1" si="68"/>
        <v>13140</v>
      </c>
      <c r="O142" s="162">
        <f t="shared" ca="1" si="65"/>
        <v>19.043478260869566</v>
      </c>
      <c r="P142" s="162">
        <f t="shared" ca="1" si="66"/>
        <v>28.721311475409838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69000</v>
      </c>
      <c r="M144" s="176">
        <f ca="1">IFERROR(__xludf.DUMMYFUNCTION("IMPORTRANGE(""https://docs.google.com/spreadsheets/d/1Yj_ptqi66GCucihVvJfMjLAmec39IyEx_6qawtMGysU/edit?usp=sharing"",""สบก!BJ32"")"),45750)</f>
        <v>45750</v>
      </c>
      <c r="N144" s="177">
        <f ca="1">IFERROR(__xludf.DUMMYFUNCTION("IMPORTRANGE(""https://docs.google.com/spreadsheets/d/1Yj_ptqi66GCucihVvJfMjLAmec39IyEx_6qawtMGysU/edit?usp=sharing"",""สบก!BK32"")"),13140)</f>
        <v>13140</v>
      </c>
      <c r="O144" s="178">
        <f ca="1">IF(L144&gt;0,N144*100/L144,0)</f>
        <v>19.043478260869566</v>
      </c>
      <c r="P144" s="178">
        <f ca="1">IF(M144&gt;0,N144*100/M144,0)</f>
        <v>28.721311475409838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IFERROR(__xludf.DUMMYFUNCTION("IMPORTRANGE(""https://docs.google.com/spreadsheets/d/1Yj_ptqi66GCucihVvJfMjLAmec39IyEx_6qawtMGysU/edit?usp=sharing"",""สบก!BF32"")"),0)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IFERROR(__xludf.DUMMYFUNCTION("IMPORTRANGE(""https://docs.google.com/spreadsheets/d/1Yj_ptqi66GCucihVvJfMjLAmec39IyEx_6qawtMGysU/edit?usp=sharing"",""สบก!BG32"")"),69000)</f>
        <v>69000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IFERROR(__xludf.DUMMYFUNCTION("IMPORTRANGE(""https://docs.google.com/spreadsheets/d/1Yj_ptqi66GCucihVvJfMjLAmec39IyEx_6qawtMGysU/edit?usp=sharing"",""สบก!BH32"")"),0)</f>
        <v>0</v>
      </c>
      <c r="M148" s="103"/>
      <c r="N148" s="93">
        <f ca="1">IFERROR(__xludf.DUMMYFUNCTION("IMPORTRANGE(""https://docs.google.com/spreadsheets/d/1Yj_ptqi66GCucihVvJfMjLAmec39IyEx_6qawtMGysU/edit?usp=sharing"",""สบก!BL32"")"),0)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IFERROR(__xludf.DUMMYFUNCTION("IMPORTRANGE(""https://docs.google.com/spreadsheets/d/11923uPwbBZFjjGgGUA6NLw09EwE0CqkOc4q9oUmW1yo/edit?usp=sharing"",""ลำปาง!I74"")"),4)</f>
        <v>4</v>
      </c>
      <c r="J149" s="284">
        <f ca="1">IFERROR(__xludf.DUMMYFUNCTION("IMPORTRANGE(""https://docs.google.com/spreadsheets/d/11923uPwbBZFjjGgGUA6NLw09EwE0CqkOc4q9oUmW1yo/edit?usp=sharing"",""ลำปาง!J74"")"),1)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IFERROR(__xludf.DUMMYFUNCTION("IMPORTRANGE(""https://docs.google.com/spreadsheets/d/11923uPwbBZFjjGgGUA6NLw09EwE0CqkOc4q9oUmW1yo/edit?usp=sharing"",""ลำปาง!J79"")"),0)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IFERROR(__xludf.DUMMYFUNCTION("IMPORTRANGE(""https://docs.google.com/spreadsheets/d/11923uPwbBZFjjGgGUA6NLw09EwE0CqkOc4q9oUmW1yo/edit?usp=sharing"",""ลำปาง!J80"")"),1)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IFERROR(__xludf.DUMMYFUNCTION("IMPORTRANGE(""https://docs.google.com/spreadsheets/d/11923uPwbBZFjjGgGUA6NLw09EwE0CqkOc4q9oUmW1yo/edit?usp=sharing"",""ลำปาง!J81"")"),0)</f>
        <v>0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IFERROR(__xludf.DUMMYFUNCTION("IMPORTRANGE(""https://docs.google.com/spreadsheets/d/11923uPwbBZFjjGgGUA6NLw09EwE0CqkOc4q9oUmW1yo/edit?usp=sharing"",""ลำปาง!J82"")"),0)</f>
        <v>0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IFERROR(__xludf.DUMMYFUNCTION("IMPORTRANGE(""https://docs.google.com/spreadsheets/d/11923uPwbBZFjjGgGUA6NLw09EwE0CqkOc4q9oUmW1yo/edit?usp=sharing"",""ลำปาง!I83"")"),4)</f>
        <v>4</v>
      </c>
      <c r="J158" s="198">
        <f ca="1">IFERROR(__xludf.DUMMYFUNCTION("IMPORTRANGE(""https://docs.google.com/spreadsheets/d/11923uPwbBZFjjGgGUA6NLw09EwE0CqkOc4q9oUmW1yo/edit?usp=sharing"",""ลำปาง!J83"")"),1)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IFERROR(__xludf.DUMMYFUNCTION("IMPORTRANGE(""https://docs.google.com/spreadsheets/d/11923uPwbBZFjjGgGUA6NLw09EwE0CqkOc4q9oUmW1yo/edit?usp=sharing"",""ลำปาง!J84"")"),34)</f>
        <v>34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IFERROR(__xludf.DUMMYFUNCTION("IMPORTRANGE(""https://docs.google.com/spreadsheets/d/11923uPwbBZFjjGgGUA6NLw09EwE0CqkOc4q9oUmW1yo/edit?usp=sharing"",""ลำปาง!J85"")"),34)</f>
        <v>34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IFERROR(__xludf.DUMMYFUNCTION("IMPORTRANGE(""https://docs.google.com/spreadsheets/d/11923uPwbBZFjjGgGUA6NLw09EwE0CqkOc4q9oUmW1yo/edit?usp=sharing"",""ลำปาง!J86"")"),0)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IFERROR(__xludf.DUMMYFUNCTION("IMPORTRANGE(""https://docs.google.com/spreadsheets/d/11923uPwbBZFjjGgGUA6NLw09EwE0CqkOc4q9oUmW1yo/edit?usp=sharing"",""ลำปาง!J87"")"),0)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IFERROR(__xludf.DUMMYFUNCTION("IMPORTRANGE(""https://docs.google.com/spreadsheets/d/11923uPwbBZFjjGgGUA6NLw09EwE0CqkOc4q9oUmW1yo/edit?usp=sharing"",""ลำปาง!J88"")"),0)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IFERROR(__xludf.DUMMYFUNCTION("IMPORTRANGE(""https://docs.google.com/spreadsheets/d/11923uPwbBZFjjGgGUA6NLw09EwE0CqkOc4q9oUmW1yo/edit?usp=sharing"",""ลำปาง!I89"")"),3)</f>
        <v>3</v>
      </c>
      <c r="J164" s="292">
        <f ca="1">IFERROR(__xludf.DUMMYFUNCTION("IMPORTRANGE(""https://docs.google.com/spreadsheets/d/11923uPwbBZFjjGgGUA6NLw09EwE0CqkOc4q9oUmW1yo/edit?usp=sharing"",""ลำปาง!J89"")"),0)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IFERROR(__xludf.DUMMYFUNCTION("IMPORTRANGE(""https://docs.google.com/spreadsheets/d/11923uPwbBZFjjGgGUA6NLw09EwE0CqkOc4q9oUmW1yo/edit?usp=sharing"",""ลำปาง!J94"")"),0)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IFERROR(__xludf.DUMMYFUNCTION("IMPORTRANGE(""https://docs.google.com/spreadsheets/d/11923uPwbBZFjjGgGUA6NLw09EwE0CqkOc4q9oUmW1yo/edit?usp=sharing"",""ลำปาง!J95"")"),1)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IFERROR(__xludf.DUMMYFUNCTION("IMPORTRANGE(""https://docs.google.com/spreadsheets/d/11923uPwbBZFjjGgGUA6NLw09EwE0CqkOc4q9oUmW1yo/edit?usp=sharing"",""ลำปาง!J96"")"),0)</f>
        <v>0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IFERROR(__xludf.DUMMYFUNCTION("IMPORTRANGE(""https://docs.google.com/spreadsheets/d/11923uPwbBZFjjGgGUA6NLw09EwE0CqkOc4q9oUmW1yo/edit?usp=sharing"",""ลำปาง!J97"")"),0)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IFERROR(__xludf.DUMMYFUNCTION("IMPORTRANGE(""https://docs.google.com/spreadsheets/d/11923uPwbBZFjjGgGUA6NLw09EwE0CqkOc4q9oUmW1yo/edit?usp=sharing"",""ลำปาง!I98"")"),3)</f>
        <v>3</v>
      </c>
      <c r="J173" s="198">
        <f ca="1">IFERROR(__xludf.DUMMYFUNCTION("IMPORTRANGE(""https://docs.google.com/spreadsheets/d/11923uPwbBZFjjGgGUA6NLw09EwE0CqkOc4q9oUmW1yo/edit?usp=sharing"",""ลำปาง!J98"")"),0)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IFERROR(__xludf.DUMMYFUNCTION("IMPORTRANGE(""https://docs.google.com/spreadsheets/d/11923uPwbBZFjjGgGUA6NLw09EwE0CqkOc4q9oUmW1yo/edit?usp=sharing"",""ลำปาง!J99"")"),0)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IFERROR(__xludf.DUMMYFUNCTION("IMPORTRANGE(""https://docs.google.com/spreadsheets/d/11923uPwbBZFjjGgGUA6NLw09EwE0CqkOc4q9oUmW1yo/edit?usp=sharing"",""ลำปาง!J100"")"),0)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IFERROR(__xludf.DUMMYFUNCTION("IMPORTRANGE(""https://docs.google.com/spreadsheets/d/11923uPwbBZFjjGgGUA6NLw09EwE0CqkOc4q9oUmW1yo/edit?usp=sharing"",""ลำปาง!I101"")"),0)</f>
        <v>0</v>
      </c>
      <c r="J176" s="292">
        <f ca="1">IFERROR(__xludf.DUMMYFUNCTION("IMPORTRANGE(""https://docs.google.com/spreadsheets/d/11923uPwbBZFjjGgGUA6NLw09EwE0CqkOc4q9oUmW1yo/edit?usp=sharing"",""ลำปาง!J101"")"),0)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IFERROR(__xludf.DUMMYFUNCTION("IMPORTRANGE(""https://docs.google.com/spreadsheets/d/11923uPwbBZFjjGgGUA6NLw09EwE0CqkOc4q9oUmW1yo/edit?usp=sharing"",""ลำปาง!J106"")"),0)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IFERROR(__xludf.DUMMYFUNCTION("IMPORTRANGE(""https://docs.google.com/spreadsheets/d/11923uPwbBZFjjGgGUA6NLw09EwE0CqkOc4q9oUmW1yo/edit?usp=sharing"",""ลำปาง!J107"")"),0)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IFERROR(__xludf.DUMMYFUNCTION("IMPORTRANGE(""https://docs.google.com/spreadsheets/d/11923uPwbBZFjjGgGUA6NLw09EwE0CqkOc4q9oUmW1yo/edit?usp=sharing"",""ลำปาง!J108"")"),0)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IFERROR(__xludf.DUMMYFUNCTION("IMPORTRANGE(""https://docs.google.com/spreadsheets/d/11923uPwbBZFjjGgGUA6NLw09EwE0CqkOc4q9oUmW1yo/edit?usp=sharing"",""ลำปาง!J109"")"),0)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IFERROR(__xludf.DUMMYFUNCTION("IMPORTRANGE(""https://docs.google.com/spreadsheets/d/11923uPwbBZFjjGgGUA6NLw09EwE0CqkOc4q9oUmW1yo/edit?usp=sharing"",""ลำปาง!I110"")"),0)</f>
        <v>0</v>
      </c>
      <c r="J185" s="213">
        <f ca="1">IFERROR(__xludf.DUMMYFUNCTION("IMPORTRANGE(""https://docs.google.com/spreadsheets/d/11923uPwbBZFjjGgGUA6NLw09EwE0CqkOc4q9oUmW1yo/edit?usp=sharing"",""ลำปาง!J110"")"),0)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IFERROR(__xludf.DUMMYFUNCTION("IMPORTRANGE(""https://docs.google.com/spreadsheets/d/11923uPwbBZFjjGgGUA6NLw09EwE0CqkOc4q9oUmW1yo/edit?usp=sharing"",""ลำปาง!I111"")"),0)</f>
        <v>0</v>
      </c>
      <c r="J186" s="213">
        <f ca="1">IFERROR(__xludf.DUMMYFUNCTION("IMPORTRANGE(""https://docs.google.com/spreadsheets/d/11923uPwbBZFjjGgGUA6NLw09EwE0CqkOc4q9oUmW1yo/edit?usp=sharing"",""ลำปาง!J111"")"),0)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IFERROR(__xludf.DUMMYFUNCTION("IMPORTRANGE(""https://docs.google.com/spreadsheets/d/11923uPwbBZFjjGgGUA6NLw09EwE0CqkOc4q9oUmW1yo/edit?usp=sharing"",""ลำปาง!J112"")"),0)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IFERROR(__xludf.DUMMYFUNCTION("IMPORTRANGE(""https://docs.google.com/spreadsheets/d/11923uPwbBZFjjGgGUA6NLw09EwE0CqkOc4q9oUmW1yo/edit?usp=sharing"",""ลำปาง!J113"")"),0)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IFERROR(__xludf.DUMMYFUNCTION("IMPORTRANGE(""https://docs.google.com/spreadsheets/d/11923uPwbBZFjjGgGUA6NLw09EwE0CqkOc4q9oUmW1yo/edit?usp=sharing"",""ลำปาง!I114"")"),50000)</f>
        <v>50000</v>
      </c>
      <c r="J189" s="292">
        <f ca="1">IFERROR(__xludf.DUMMYFUNCTION("IMPORTRANGE(""https://docs.google.com/spreadsheets/d/11923uPwbBZFjjGgGUA6NLw09EwE0CqkOc4q9oUmW1yo/edit?usp=sharing"",""ลำปาง!J114"")"),0)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IFERROR(__xludf.DUMMYFUNCTION("IMPORTRANGE(""https://docs.google.com/spreadsheets/d/11923uPwbBZFjjGgGUA6NLw09EwE0CqkOc4q9oUmW1yo/edit?usp=sharing"",""ลำปาง!J119"")"),0)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IFERROR(__xludf.DUMMYFUNCTION("IMPORTRANGE(""https://docs.google.com/spreadsheets/d/11923uPwbBZFjjGgGUA6NLw09EwE0CqkOc4q9oUmW1yo/edit?usp=sharing"",""ลำปาง!J120"")"),1)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IFERROR(__xludf.DUMMYFUNCTION("IMPORTRANGE(""https://docs.google.com/spreadsheets/d/11923uPwbBZFjjGgGUA6NLw09EwE0CqkOc4q9oUmW1yo/edit?usp=sharing"",""ลำปาง!J121"")"),0)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IFERROR(__xludf.DUMMYFUNCTION("IMPORTRANGE(""https://docs.google.com/spreadsheets/d/11923uPwbBZFjjGgGUA6NLw09EwE0CqkOc4q9oUmW1yo/edit?usp=sharing"",""ลำปาง!J122"")"),0)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IFERROR(__xludf.DUMMYFUNCTION("IMPORTRANGE(""https://docs.google.com/spreadsheets/d/11923uPwbBZFjjGgGUA6NLw09EwE0CqkOc4q9oUmW1yo/edit?usp=sharing"",""ลำปาง!I124"")"),50000)</f>
        <v>50000</v>
      </c>
      <c r="J199" s="198">
        <f ca="1">IFERROR(__xludf.DUMMYFUNCTION("IMPORTRANGE(""https://docs.google.com/spreadsheets/d/11923uPwbBZFjjGgGUA6NLw09EwE0CqkOc4q9oUmW1yo/edit?usp=sharing"",""ลำปาง!J124"")"),0)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IFERROR(__xludf.DUMMYFUNCTION("IMPORTRANGE(""https://docs.google.com/spreadsheets/d/11923uPwbBZFjjGgGUA6NLw09EwE0CqkOc4q9oUmW1yo/edit?usp=sharing"",""ลำปาง!I125"")"),50000)</f>
        <v>50000</v>
      </c>
      <c r="J200" s="198">
        <f ca="1">IFERROR(__xludf.DUMMYFUNCTION("IMPORTRANGE(""https://docs.google.com/spreadsheets/d/11923uPwbBZFjjGgGUA6NLw09EwE0CqkOc4q9oUmW1yo/edit?usp=sharing"",""ลำปาง!J125"")"),0)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IFERROR(__xludf.DUMMYFUNCTION("IMPORTRANGE(""https://docs.google.com/spreadsheets/d/11923uPwbBZFjjGgGUA6NLw09EwE0CqkOc4q9oUmW1yo/edit?usp=sharing"",""ลำปาง!I126"")"),0)</f>
        <v>0</v>
      </c>
      <c r="J201" s="198">
        <f ca="1">IFERROR(__xludf.DUMMYFUNCTION("IMPORTRANGE(""https://docs.google.com/spreadsheets/d/11923uPwbBZFjjGgGUA6NLw09EwE0CqkOc4q9oUmW1yo/edit?usp=sharing"",""ลำปาง!J126"")"),0)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IFERROR(__xludf.DUMMYFUNCTION("IMPORTRANGE(""https://docs.google.com/spreadsheets/d/11923uPwbBZFjjGgGUA6NLw09EwE0CqkOc4q9oUmW1yo/edit?usp=sharing"",""ลำปาง!J127"")"),0)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IFERROR(__xludf.DUMMYFUNCTION("IMPORTRANGE(""https://docs.google.com/spreadsheets/d/11923uPwbBZFjjGgGUA6NLw09EwE0CqkOc4q9oUmW1yo/edit?usp=sharing"",""ลำปาง!J128"")"),0)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IFERROR(__xludf.DUMMYFUNCTION("IMPORTRANGE(""https://docs.google.com/spreadsheets/d/11923uPwbBZFjjGgGUA6NLw09EwE0CqkOc4q9oUmW1yo/edit?usp=sharing"",""ลำปาง!I129"")"),0)</f>
        <v>0</v>
      </c>
      <c r="J204" s="292">
        <f ca="1">IFERROR(__xludf.DUMMYFUNCTION("IMPORTRANGE(""https://docs.google.com/spreadsheets/d/11923uPwbBZFjjGgGUA6NLw09EwE0CqkOc4q9oUmW1yo/edit?usp=sharing"",""ลำปาง!J129"")"),0)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IFERROR(__xludf.DUMMYFUNCTION("IMPORTRANGE(""https://docs.google.com/spreadsheets/d/11923uPwbBZFjjGgGUA6NLw09EwE0CqkOc4q9oUmW1yo/edit?usp=sharing"",""ลำปาง!J134"")"),0)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IFERROR(__xludf.DUMMYFUNCTION("IMPORTRANGE(""https://docs.google.com/spreadsheets/d/11923uPwbBZFjjGgGUA6NLw09EwE0CqkOc4q9oUmW1yo/edit?usp=sharing"",""ลำปาง!J135"")"),0)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IFERROR(__xludf.DUMMYFUNCTION("IMPORTRANGE(""https://docs.google.com/spreadsheets/d/11923uPwbBZFjjGgGUA6NLw09EwE0CqkOc4q9oUmW1yo/edit?usp=sharing"",""ลำปาง!J136"")"),0)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IFERROR(__xludf.DUMMYFUNCTION("IMPORTRANGE(""https://docs.google.com/spreadsheets/d/11923uPwbBZFjjGgGUA6NLw09EwE0CqkOc4q9oUmW1yo/edit?usp=sharing"",""ลำปาง!J137"")"),0)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IFERROR(__xludf.DUMMYFUNCTION("IMPORTRANGE(""https://docs.google.com/spreadsheets/d/11923uPwbBZFjjGgGUA6NLw09EwE0CqkOc4q9oUmW1yo/edit?usp=sharing"",""ลำปาง!I138"")"),0)</f>
        <v>0</v>
      </c>
      <c r="J213" s="213">
        <f ca="1">IFERROR(__xludf.DUMMYFUNCTION("IMPORTRANGE(""https://docs.google.com/spreadsheets/d/11923uPwbBZFjjGgGUA6NLw09EwE0CqkOc4q9oUmW1yo/edit?usp=sharing"",""ลำปาง!J138"")"),0)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IFERROR(__xludf.DUMMYFUNCTION("IMPORTRANGE(""https://docs.google.com/spreadsheets/d/11923uPwbBZFjjGgGUA6NLw09EwE0CqkOc4q9oUmW1yo/edit?usp=sharing"",""ลำปาง!I140"")"),0)</f>
        <v>0</v>
      </c>
      <c r="J215" s="213">
        <f ca="1">IFERROR(__xludf.DUMMYFUNCTION("IMPORTRANGE(""https://docs.google.com/spreadsheets/d/11923uPwbBZFjjGgGUA6NLw09EwE0CqkOc4q9oUmW1yo/edit?usp=sharing"",""ลำปาง!J140"")"),0)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IFERROR(__xludf.DUMMYFUNCTION("IMPORTRANGE(""https://docs.google.com/spreadsheets/d/11923uPwbBZFjjGgGUA6NLw09EwE0CqkOc4q9oUmW1yo/edit?usp=sharing"",""ลำปาง!I141"")"),0)</f>
        <v>0</v>
      </c>
      <c r="J216" s="213">
        <f ca="1">IFERROR(__xludf.DUMMYFUNCTION("IMPORTRANGE(""https://docs.google.com/spreadsheets/d/11923uPwbBZFjjGgGUA6NLw09EwE0CqkOc4q9oUmW1yo/edit?usp=sharing"",""ลำปาง!J141"")"),0)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IFERROR(__xludf.DUMMYFUNCTION("IMPORTRANGE(""https://docs.google.com/spreadsheets/d/11923uPwbBZFjjGgGUA6NLw09EwE0CqkOc4q9oUmW1yo/edit?usp=sharing"",""ลำปาง!J142"")"),0)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IFERROR(__xludf.DUMMYFUNCTION("IMPORTRANGE(""https://docs.google.com/spreadsheets/d/11923uPwbBZFjjGgGUA6NLw09EwE0CqkOc4q9oUmW1yo/edit?usp=sharing"",""ลำปาง!J143"")"),0)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IFERROR(__xludf.DUMMYFUNCTION("IMPORTRANGE(""https://docs.google.com/spreadsheets/d/11923uPwbBZFjjGgGUA6NLw09EwE0CqkOc4q9oUmW1yo/edit?usp=sharing"",""ลำปาง!I144"")"),15)</f>
        <v>15</v>
      </c>
      <c r="J219" s="276">
        <f ca="1">IFERROR(__xludf.DUMMYFUNCTION("IMPORTRANGE(""https://docs.google.com/spreadsheets/d/11923uPwbBZFjjGgGUA6NLw09EwE0CqkOc4q9oUmW1yo/edit?usp=sharing"",""ลำปาง!J144"")"),15)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IFERROR(__xludf.DUMMYFUNCTION("IMPORTRANGE(""https://docs.google.com/spreadsheets/d/1Yj_ptqi66GCucihVvJfMjLAmec39IyEx_6qawtMGysU/edit?usp=sharing"",""สบก!BS32"")"),21125)</f>
        <v>21125</v>
      </c>
      <c r="N224" s="177">
        <f ca="1">IFERROR(__xludf.DUMMYFUNCTION("IMPORTRANGE(""https://docs.google.com/spreadsheets/d/1Yj_ptqi66GCucihVvJfMjLAmec39IyEx_6qawtMGysU/edit?usp=sharing"",""สบก!BT32"")"),21125)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IFERROR(__xludf.DUMMYFUNCTION("IMPORTRANGE(""https://docs.google.com/spreadsheets/d/1Yj_ptqi66GCucihVvJfMjLAmec39IyEx_6qawtMGysU/edit?usp=sharing"",""สบก!BO32"")"),0)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IFERROR(__xludf.DUMMYFUNCTION("IMPORTRANGE(""https://docs.google.com/spreadsheets/d/1Yj_ptqi66GCucihVvJfMjLAmec39IyEx_6qawtMGysU/edit?usp=sharing"",""สบก!BP32"")"),21125)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IFERROR(__xludf.DUMMYFUNCTION("IMPORTRANGE(""https://docs.google.com/spreadsheets/d/1Yj_ptqi66GCucihVvJfMjLAmec39IyEx_6qawtMGysU/edit?usp=sharing"",""สบก!BQ32"")"),0)</f>
        <v>0</v>
      </c>
      <c r="M228" s="103"/>
      <c r="N228" s="93">
        <f ca="1">IFERROR(__xludf.DUMMYFUNCTION("IMPORTRANGE(""https://docs.google.com/spreadsheets/d/1Yj_ptqi66GCucihVvJfMjLAmec39IyEx_6qawtMGysU/edit?usp=sharing"",""สบก!BU32"")"),0)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IFERROR(__xludf.DUMMYFUNCTION("IMPORTRANGE(""https://docs.google.com/spreadsheets/d/11923uPwbBZFjjGgGUA6NLw09EwE0CqkOc4q9oUmW1yo/edit?usp=sharing"",""ลำปาง!I149"")"),15)</f>
        <v>15</v>
      </c>
      <c r="J229" s="276">
        <f ca="1">IFERROR(__xludf.DUMMYFUNCTION("IMPORTRANGE(""https://docs.google.com/spreadsheets/d/11923uPwbBZFjjGgGUA6NLw09EwE0CqkOc4q9oUmW1yo/edit?usp=sharing"",""ลำปาง!J149"")"),15)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IFERROR(__xludf.DUMMYFUNCTION("IMPORTRANGE(""https://docs.google.com/spreadsheets/d/11923uPwbBZFjjGgGUA6NLw09EwE0CqkOc4q9oUmW1yo/edit?usp=sharing"",""ลำปาง!J151"")"),0)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IFERROR(__xludf.DUMMYFUNCTION("IMPORTRANGE(""https://docs.google.com/spreadsheets/d/11923uPwbBZFjjGgGUA6NLw09EwE0CqkOc4q9oUmW1yo/edit?usp=sharing"",""ลำปาง!J152"")"),1)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IFERROR(__xludf.DUMMYFUNCTION("IMPORTRANGE(""https://docs.google.com/spreadsheets/d/11923uPwbBZFjjGgGUA6NLw09EwE0CqkOc4q9oUmW1yo/edit?usp=sharing"",""ลำปาง!J153"")"),1)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IFERROR(__xludf.DUMMYFUNCTION("IMPORTRANGE(""https://docs.google.com/spreadsheets/d/11923uPwbBZFjjGgGUA6NLw09EwE0CqkOc4q9oUmW1yo/edit?usp=sharing"",""ลำปาง!J154"")"),1)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IFERROR(__xludf.DUMMYFUNCTION("IMPORTRANGE(""https://docs.google.com/spreadsheets/d/11923uPwbBZFjjGgGUA6NLw09EwE0CqkOc4q9oUmW1yo/edit?usp=sharing"",""ลำปาง!I155"")"),15)</f>
        <v>15</v>
      </c>
      <c r="J235" s="198">
        <f ca="1">IFERROR(__xludf.DUMMYFUNCTION("IMPORTRANGE(""https://docs.google.com/spreadsheets/d/11923uPwbBZFjjGgGUA6NLw09EwE0CqkOc4q9oUmW1yo/edit?usp=sharing"",""ลำปาง!J155"")"),15)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IFERROR(__xludf.DUMMYFUNCTION("IMPORTRANGE(""https://docs.google.com/spreadsheets/d/11923uPwbBZFjjGgGUA6NLw09EwE0CqkOc4q9oUmW1yo/edit?usp=sharing"",""ลำปาง!J156"")"),0)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IFERROR(__xludf.DUMMYFUNCTION("IMPORTRANGE(""https://docs.google.com/spreadsheets/d/11923uPwbBZFjjGgGUA6NLw09EwE0CqkOc4q9oUmW1yo/edit?usp=sharing"",""ลำปาง!J157"")"),0)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IFERROR(__xludf.DUMMYFUNCTION("IMPORTRANGE(""https://docs.google.com/spreadsheets/d/11923uPwbBZFjjGgGUA6NLw09EwE0CqkOc4q9oUmW1yo/edit?usp=sharing"",""ลำปาง!I158"")"),0)</f>
        <v>0</v>
      </c>
      <c r="J238" s="276">
        <f ca="1">IFERROR(__xludf.DUMMYFUNCTION("IMPORTRANGE(""https://docs.google.com/spreadsheets/d/11923uPwbBZFjjGgGUA6NLw09EwE0CqkOc4q9oUmW1yo/edit?usp=sharing"",""ลำปาง!J158"")"),0)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IFERROR(__xludf.DUMMYFUNCTION("IMPORTRANGE(""https://docs.google.com/spreadsheets/d/11923uPwbBZFjjGgGUA6NLw09EwE0CqkOc4q9oUmW1yo/edit?usp=sharing"",""ลำปาง!J159"")"),"")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IFERROR(__xludf.DUMMYFUNCTION("IMPORTRANGE(""https://docs.google.com/spreadsheets/d/11923uPwbBZFjjGgGUA6NLw09EwE0CqkOc4q9oUmW1yo/edit?usp=sharing"",""ลำปาง!J161"")"),0)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IFERROR(__xludf.DUMMYFUNCTION("IMPORTRANGE(""https://docs.google.com/spreadsheets/d/11923uPwbBZFjjGgGUA6NLw09EwE0CqkOc4q9oUmW1yo/edit?usp=sharing"",""ลำปาง!J162"")"),0)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IFERROR(__xludf.DUMMYFUNCTION("IMPORTRANGE(""https://docs.google.com/spreadsheets/d/11923uPwbBZFjjGgGUA6NLw09EwE0CqkOc4q9oUmW1yo/edit?usp=sharing"",""ลำปาง!J163"")"),0)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IFERROR(__xludf.DUMMYFUNCTION("IMPORTRANGE(""https://docs.google.com/spreadsheets/d/11923uPwbBZFjjGgGUA6NLw09EwE0CqkOc4q9oUmW1yo/edit?usp=sharing"",""ลำปาง!I164"")"),0)</f>
        <v>0</v>
      </c>
      <c r="J244" s="197">
        <f ca="1">IFERROR(__xludf.DUMMYFUNCTION("IMPORTRANGE(""https://docs.google.com/spreadsheets/d/11923uPwbBZFjjGgGUA6NLw09EwE0CqkOc4q9oUmW1yo/edit?usp=sharing"",""ลำปาง!J164"")"),0)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IFERROR(__xludf.DUMMYFUNCTION("IMPORTRANGE(""https://docs.google.com/spreadsheets/d/11923uPwbBZFjjGgGUA6NLw09EwE0CqkOc4q9oUmW1yo/edit?usp=sharing"",""ลำปาง!J165"")"),0)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IFERROR(__xludf.DUMMYFUNCTION("IMPORTRANGE(""https://docs.google.com/spreadsheets/d/11923uPwbBZFjjGgGUA6NLw09EwE0CqkOc4q9oUmW1yo/edit?usp=sharing"",""ลำปาง!J166"")"),0)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IFERROR(__xludf.DUMMYFUNCTION("IMPORTRANGE(""https://docs.google.com/spreadsheets/d/11923uPwbBZFjjGgGUA6NLw09EwE0CqkOc4q9oUmW1yo/edit?usp=sharing"",""ลำปาง!I169"")"),0)</f>
        <v>0</v>
      </c>
      <c r="J249" s="324">
        <f ca="1">IFERROR(__xludf.DUMMYFUNCTION("IMPORTRANGE(""https://docs.google.com/spreadsheets/d/11923uPwbBZFjjGgGUA6NLw09EwE0CqkOc4q9oUmW1yo/edit?usp=sharing"",""ลำปาง!J169"")"),0)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IFERROR(__xludf.DUMMYFUNCTION("IMPORTRANGE(""https://docs.google.com/spreadsheets/d/1Yj_ptqi66GCucihVvJfMjLAmec39IyEx_6qawtMGysU/edit?usp=sharing"",""สบก!CB32"")"),0)</f>
        <v>0</v>
      </c>
      <c r="N254" s="177">
        <f ca="1">IFERROR(__xludf.DUMMYFUNCTION("IMPORTRANGE(""https://docs.google.com/spreadsheets/d/1Yj_ptqi66GCucihVvJfMjLAmec39IyEx_6qawtMGysU/edit?usp=sharing"",""สบก!CC32"")"),0)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IFERROR(__xludf.DUMMYFUNCTION("IMPORTRANGE(""https://docs.google.com/spreadsheets/d/1Yj_ptqi66GCucihVvJfMjLAmec39IyEx_6qawtMGysU/edit?usp=sharing"",""สบก!BX32"")"),0)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IFERROR(__xludf.DUMMYFUNCTION("IMPORTRANGE(""https://docs.google.com/spreadsheets/d/1Yj_ptqi66GCucihVvJfMjLAmec39IyEx_6qawtMGysU/edit?usp=sharing"",""สบก!BY32"")"),0)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IFERROR(__xludf.DUMMYFUNCTION("IMPORTRANGE(""https://docs.google.com/spreadsheets/d/1Yj_ptqi66GCucihVvJfMjLAmec39IyEx_6qawtMGysU/edit?usp=sharing"",""สบก!BZ32"")"),0)</f>
        <v>0</v>
      </c>
      <c r="M258" s="103"/>
      <c r="N258" s="93">
        <f ca="1">IFERROR(__xludf.DUMMYFUNCTION("IMPORTRANGE(""https://docs.google.com/spreadsheets/d/1Yj_ptqi66GCucihVvJfMjLAmec39IyEx_6qawtMGysU/edit?usp=sharing"",""สบก!CD32"")"),0)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IFERROR(__xludf.DUMMYFUNCTION("IMPORTRANGE(""https://docs.google.com/spreadsheets/d/11923uPwbBZFjjGgGUA6NLw09EwE0CqkOc4q9oUmW1yo/edit?usp=sharing"",""ลำปาง!J175"")"),0)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IFERROR(__xludf.DUMMYFUNCTION("IMPORTRANGE(""https://docs.google.com/spreadsheets/d/11923uPwbBZFjjGgGUA6NLw09EwE0CqkOc4q9oUmW1yo/edit?usp=sharing"",""ลำปาง!J176"")"),0)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IFERROR(__xludf.DUMMYFUNCTION("IMPORTRANGE(""https://docs.google.com/spreadsheets/d/11923uPwbBZFjjGgGUA6NLw09EwE0CqkOc4q9oUmW1yo/edit?usp=sharing"",""ลำปาง!J177"")"),0)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IFERROR(__xludf.DUMMYFUNCTION("IMPORTRANGE(""https://docs.google.com/spreadsheets/d/11923uPwbBZFjjGgGUA6NLw09EwE0CqkOc4q9oUmW1yo/edit?usp=sharing"",""ลำปาง!J178"")"),0)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IFERROR(__xludf.DUMMYFUNCTION("IMPORTRANGE(""https://docs.google.com/spreadsheets/d/11923uPwbBZFjjGgGUA6NLw09EwE0CqkOc4q9oUmW1yo/edit?usp=sharing"",""ลำปาง!I179"")"),0)</f>
        <v>0</v>
      </c>
      <c r="J264" s="198">
        <f ca="1">IFERROR(__xludf.DUMMYFUNCTION("IMPORTRANGE(""https://docs.google.com/spreadsheets/d/11923uPwbBZFjjGgGUA6NLw09EwE0CqkOc4q9oUmW1yo/edit?usp=sharing"",""ลำปาง!J179"")"),0)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IFERROR(__xludf.DUMMYFUNCTION("IMPORTRANGE(""https://docs.google.com/spreadsheets/d/11923uPwbBZFjjGgGUA6NLw09EwE0CqkOc4q9oUmW1yo/edit?usp=sharing"",""ลำปาง!I180"")"),0)</f>
        <v>0</v>
      </c>
      <c r="J265" s="198">
        <f ca="1">IFERROR(__xludf.DUMMYFUNCTION("IMPORTRANGE(""https://docs.google.com/spreadsheets/d/11923uPwbBZFjjGgGUA6NLw09EwE0CqkOc4q9oUmW1yo/edit?usp=sharing"",""ลำปาง!J180"")"),0)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IFERROR(__xludf.DUMMYFUNCTION("IMPORTRANGE(""https://docs.google.com/spreadsheets/d/11923uPwbBZFjjGgGUA6NLw09EwE0CqkOc4q9oUmW1yo/edit?usp=sharing"",""ลำปาง!I181"")"),0)</f>
        <v>0</v>
      </c>
      <c r="J266" s="198">
        <f ca="1">IFERROR(__xludf.DUMMYFUNCTION("IMPORTRANGE(""https://docs.google.com/spreadsheets/d/11923uPwbBZFjjGgGUA6NLw09EwE0CqkOc4q9oUmW1yo/edit?usp=sharing"",""ลำปาง!J181"")"),0)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IFERROR(__xludf.DUMMYFUNCTION("IMPORTRANGE(""https://docs.google.com/spreadsheets/d/11923uPwbBZFjjGgGUA6NLw09EwE0CqkOc4q9oUmW1yo/edit?usp=sharing"",""ลำปาง!I182"")"),0)</f>
        <v>0</v>
      </c>
      <c r="J267" s="198">
        <f ca="1">IFERROR(__xludf.DUMMYFUNCTION("IMPORTRANGE(""https://docs.google.com/spreadsheets/d/11923uPwbBZFjjGgGUA6NLw09EwE0CqkOc4q9oUmW1yo/edit?usp=sharing"",""ลำปาง!J182"")"),0)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IFERROR(__xludf.DUMMYFUNCTION("IMPORTRANGE(""https://docs.google.com/spreadsheets/d/11923uPwbBZFjjGgGUA6NLw09EwE0CqkOc4q9oUmW1yo/edit?usp=sharing"",""ลำปาง!J183"")"),0)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IFERROR(__xludf.DUMMYFUNCTION("IMPORTRANGE(""https://docs.google.com/spreadsheets/d/11923uPwbBZFjjGgGUA6NLw09EwE0CqkOc4q9oUmW1yo/edit?usp=sharing"",""ลำปาง!J184"")"),0)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IFERROR(__xludf.DUMMYFUNCTION("IMPORTRANGE(""https://docs.google.com/spreadsheets/d/11923uPwbBZFjjGgGUA6NLw09EwE0CqkOc4q9oUmW1yo/edit?usp=sharing"",""ลำปาง!I185"")"),15)</f>
        <v>15</v>
      </c>
      <c r="J270" s="324">
        <f ca="1">IFERROR(__xludf.DUMMYFUNCTION("IMPORTRANGE(""https://docs.google.com/spreadsheets/d/11923uPwbBZFjjGgGUA6NLw09EwE0CqkOc4q9oUmW1yo/edit?usp=sharing"",""ลำปาง!J185"")"),0)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187200</v>
      </c>
      <c r="M271" s="158">
        <f t="shared" ca="1" si="83"/>
        <v>98250</v>
      </c>
      <c r="N271" s="158">
        <f t="shared" ca="1" si="83"/>
        <v>41137</v>
      </c>
      <c r="O271" s="157">
        <f t="shared" ref="O271:O273" ca="1" si="84">IF(L271&gt;0,N271*100/L271,0)</f>
        <v>21.974893162393162</v>
      </c>
      <c r="P271" s="157">
        <f t="shared" ref="P271:P273" ca="1" si="85">IF(M271&gt;0,N271*100/M271,0)</f>
        <v>41.869720101781169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187200</v>
      </c>
      <c r="M273" s="163">
        <f t="shared" ca="1" si="87"/>
        <v>98250</v>
      </c>
      <c r="N273" s="163">
        <f t="shared" ca="1" si="87"/>
        <v>41137</v>
      </c>
      <c r="O273" s="162">
        <f t="shared" ca="1" si="84"/>
        <v>21.974893162393162</v>
      </c>
      <c r="P273" s="162">
        <f t="shared" ca="1" si="85"/>
        <v>41.869720101781169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187200</v>
      </c>
      <c r="M275" s="176">
        <f ca="1">IFERROR(__xludf.DUMMYFUNCTION("IMPORTRANGE(""https://docs.google.com/spreadsheets/d/1Yj_ptqi66GCucihVvJfMjLAmec39IyEx_6qawtMGysU/edit?usp=sharing"",""สบก!CK32"")"),98250)</f>
        <v>98250</v>
      </c>
      <c r="N275" s="177">
        <f ca="1">IFERROR(__xludf.DUMMYFUNCTION("IMPORTRANGE(""https://docs.google.com/spreadsheets/d/1Yj_ptqi66GCucihVvJfMjLAmec39IyEx_6qawtMGysU/edit?usp=sharing"",""สบก!CL32"")"),41137)</f>
        <v>41137</v>
      </c>
      <c r="O275" s="178">
        <f ca="1">IF(L275&gt;0,N275*100/L275,0)</f>
        <v>21.974893162393162</v>
      </c>
      <c r="P275" s="178">
        <f ca="1">IF(M275&gt;0,N275*100/M275,0)</f>
        <v>41.869720101781169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IFERROR(__xludf.DUMMYFUNCTION("IMPORTRANGE(""https://docs.google.com/spreadsheets/d/1Yj_ptqi66GCucihVvJfMjLAmec39IyEx_6qawtMGysU/edit?usp=sharing"",""สบก!CG32"")"),132000)</f>
        <v>132000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IFERROR(__xludf.DUMMYFUNCTION("IMPORTRANGE(""https://docs.google.com/spreadsheets/d/1Yj_ptqi66GCucihVvJfMjLAmec39IyEx_6qawtMGysU/edit?usp=sharing"",""สบก!CH32"")"),55200)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IFERROR(__xludf.DUMMYFUNCTION("IMPORTRANGE(""https://docs.google.com/spreadsheets/d/1Yj_ptqi66GCucihVvJfMjLAmec39IyEx_6qawtMGysU/edit?usp=sharing"",""สบก!CI32"")"),0)</f>
        <v>0</v>
      </c>
      <c r="M279" s="103"/>
      <c r="N279" s="93">
        <f ca="1">IFERROR(__xludf.DUMMYFUNCTION("IMPORTRANGE(""https://docs.google.com/spreadsheets/d/1Yj_ptqi66GCucihVvJfMjLAmec39IyEx_6qawtMGysU/edit?usp=sharing"",""สบก!CM32"")"),0)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IFERROR(__xludf.DUMMYFUNCTION("IMPORTRANGE(""https://docs.google.com/spreadsheets/d/11923uPwbBZFjjGgGUA6NLw09EwE0CqkOc4q9oUmW1yo/edit?usp=sharing"",""ลำปาง!J191"")"),0)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IFERROR(__xludf.DUMMYFUNCTION("IMPORTRANGE(""https://docs.google.com/spreadsheets/d/11923uPwbBZFjjGgGUA6NLw09EwE0CqkOc4q9oUmW1yo/edit?usp=sharing"",""ลำปาง!J192"")"),1)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IFERROR(__xludf.DUMMYFUNCTION("IMPORTRANGE(""https://docs.google.com/spreadsheets/d/11923uPwbBZFjjGgGUA6NLw09EwE0CqkOc4q9oUmW1yo/edit?usp=sharing"",""ลำปาง!J193"")"),1)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IFERROR(__xludf.DUMMYFUNCTION("IMPORTRANGE(""https://docs.google.com/spreadsheets/d/11923uPwbBZFjjGgGUA6NLw09EwE0CqkOc4q9oUmW1yo/edit?usp=sharing"",""ลำปาง!J194"")"),0)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IFERROR(__xludf.DUMMYFUNCTION("IMPORTRANGE(""https://docs.google.com/spreadsheets/d/11923uPwbBZFjjGgGUA6NLw09EwE0CqkOc4q9oUmW1yo/edit?usp=sharing"",""ลำปาง!I195"")"),15)</f>
        <v>15</v>
      </c>
      <c r="J285" s="198">
        <f ca="1">IFERROR(__xludf.DUMMYFUNCTION("IMPORTRANGE(""https://docs.google.com/spreadsheets/d/11923uPwbBZFjjGgGUA6NLw09EwE0CqkOc4q9oUmW1yo/edit?usp=sharing"",""ลำปาง!J195"")"),0)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IFERROR(__xludf.DUMMYFUNCTION("IMPORTRANGE(""https://docs.google.com/spreadsheets/d/11923uPwbBZFjjGgGUA6NLw09EwE0CqkOc4q9oUmW1yo/edit?usp=sharing"",""ลำปาง!J196"")"),0)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IFERROR(__xludf.DUMMYFUNCTION("IMPORTRANGE(""https://docs.google.com/spreadsheets/d/11923uPwbBZFjjGgGUA6NLw09EwE0CqkOc4q9oUmW1yo/edit?usp=sharing"",""ลำปาง!J197"")"),0)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IFERROR(__xludf.DUMMYFUNCTION("IMPORTRANGE(""https://docs.google.com/spreadsheets/d/11923uPwbBZFjjGgGUA6NLw09EwE0CqkOc4q9oUmW1yo/edit?usp=sharing"",""ลำปาง!I199"")"),0)</f>
        <v>0</v>
      </c>
      <c r="J289" s="324">
        <f ca="1">IFERROR(__xludf.DUMMYFUNCTION("IMPORTRANGE(""https://docs.google.com/spreadsheets/d/11923uPwbBZFjjGgGUA6NLw09EwE0CqkOc4q9oUmW1yo/edit?usp=sharing"",""ลำปาง!J199"")"),0)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IFERROR(__xludf.DUMMYFUNCTION("IMPORTRANGE(""https://docs.google.com/spreadsheets/d/1Yj_ptqi66GCucihVvJfMjLAmec39IyEx_6qawtMGysU/edit?usp=sharing"",""สบก!CT32"")"),0)</f>
        <v>0</v>
      </c>
      <c r="N294" s="177">
        <f ca="1">IFERROR(__xludf.DUMMYFUNCTION("IMPORTRANGE(""https://docs.google.com/spreadsheets/d/1Yj_ptqi66GCucihVvJfMjLAmec39IyEx_6qawtMGysU/edit?usp=sharing"",""สบก!CU32"")"),0)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IFERROR(__xludf.DUMMYFUNCTION("IMPORTRANGE(""https://docs.google.com/spreadsheets/d/1Yj_ptqi66GCucihVvJfMjLAmec39IyEx_6qawtMGysU/edit?usp=sharing"",""สบก!CP32"")"),0)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IFERROR(__xludf.DUMMYFUNCTION("IMPORTRANGE(""https://docs.google.com/spreadsheets/d/1Yj_ptqi66GCucihVvJfMjLAmec39IyEx_6qawtMGysU/edit?usp=sharing"",""สบก!CQ32"")"),0)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IFERROR(__xludf.DUMMYFUNCTION("IMPORTRANGE(""https://docs.google.com/spreadsheets/d/1Yj_ptqi66GCucihVvJfMjLAmec39IyEx_6qawtMGysU/edit?usp=sharing"",""สบก!CR32"")"),0)</f>
        <v>0</v>
      </c>
      <c r="M298" s="103"/>
      <c r="N298" s="93">
        <f ca="1">IFERROR(__xludf.DUMMYFUNCTION("IMPORTRANGE(""https://docs.google.com/spreadsheets/d/1Yj_ptqi66GCucihVvJfMjLAmec39IyEx_6qawtMGysU/edit?usp=sharing"",""สบก!CV32"")"),0)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IFERROR(__xludf.DUMMYFUNCTION("IMPORTRANGE(""https://docs.google.com/spreadsheets/d/11923uPwbBZFjjGgGUA6NLw09EwE0CqkOc4q9oUmW1yo/edit?usp=sharing"",""ลำปาง!J205"")"),0)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IFERROR(__xludf.DUMMYFUNCTION("IMPORTRANGE(""https://docs.google.com/spreadsheets/d/11923uPwbBZFjjGgGUA6NLw09EwE0CqkOc4q9oUmW1yo/edit?usp=sharing"",""ลำปาง!J206"")"),0)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IFERROR(__xludf.DUMMYFUNCTION("IMPORTRANGE(""https://docs.google.com/spreadsheets/d/11923uPwbBZFjjGgGUA6NLw09EwE0CqkOc4q9oUmW1yo/edit?usp=sharing"",""ลำปาง!J207"")"),0)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IFERROR(__xludf.DUMMYFUNCTION("IMPORTRANGE(""https://docs.google.com/spreadsheets/d/11923uPwbBZFjjGgGUA6NLw09EwE0CqkOc4q9oUmW1yo/edit?usp=sharing"",""ลำปาง!J208"")"),0)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IFERROR(__xludf.DUMMYFUNCTION("IMPORTRANGE(""https://docs.google.com/spreadsheets/d/11923uPwbBZFjjGgGUA6NLw09EwE0CqkOc4q9oUmW1yo/edit?usp=sharing"",""ลำปาง!I209"")"),0)</f>
        <v>0</v>
      </c>
      <c r="J304" s="213">
        <f ca="1">IFERROR(__xludf.DUMMYFUNCTION("IMPORTRANGE(""https://docs.google.com/spreadsheets/d/11923uPwbBZFjjGgGUA6NLw09EwE0CqkOc4q9oUmW1yo/edit?usp=sharing"",""ลำปาง!J209"")"),0)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IFERROR(__xludf.DUMMYFUNCTION("IMPORTRANGE(""https://docs.google.com/spreadsheets/d/11923uPwbBZFjjGgGUA6NLw09EwE0CqkOc4q9oUmW1yo/edit?usp=sharing"",""ลำปาง!I211"")"),0)</f>
        <v>0</v>
      </c>
      <c r="J306" s="213">
        <f ca="1">IFERROR(__xludf.DUMMYFUNCTION("IMPORTRANGE(""https://docs.google.com/spreadsheets/d/11923uPwbBZFjjGgGUA6NLw09EwE0CqkOc4q9oUmW1yo/edit?usp=sharing"",""ลำปาง!J211"")"),0)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IFERROR(__xludf.DUMMYFUNCTION("IMPORTRANGE(""https://docs.google.com/spreadsheets/d/11923uPwbBZFjjGgGUA6NLw09EwE0CqkOc4q9oUmW1yo/edit?usp=sharing"",""ลำปาง!J212"")"),0)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IFERROR(__xludf.DUMMYFUNCTION("IMPORTRANGE(""https://docs.google.com/spreadsheets/d/11923uPwbBZFjjGgGUA6NLw09EwE0CqkOc4q9oUmW1yo/edit?usp=sharing"",""ลำปาง!J213"")"),0)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IFERROR(__xludf.DUMMYFUNCTION("IMPORTRANGE(""https://docs.google.com/spreadsheets/d/11923uPwbBZFjjGgGUA6NLw09EwE0CqkOc4q9oUmW1yo/edit?usp=sharing"",""ลำปาง!I214"")"),0)</f>
        <v>0</v>
      </c>
      <c r="J309" s="341">
        <f ca="1">IFERROR(__xludf.DUMMYFUNCTION("IMPORTRANGE(""https://docs.google.com/spreadsheets/d/11923uPwbBZFjjGgGUA6NLw09EwE0CqkOc4q9oUmW1yo/edit?usp=sharing"",""ลำปาง!J214"")"),0)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IFERROR(__xludf.DUMMYFUNCTION("IMPORTRANGE(""https://docs.google.com/spreadsheets/d/1Yj_ptqi66GCucihVvJfMjLAmec39IyEx_6qawtMGysU/edit?usp=sharing"",""สบก!DC32"")"),0)</f>
        <v>0</v>
      </c>
      <c r="N314" s="177">
        <f ca="1">IFERROR(__xludf.DUMMYFUNCTION("IMPORTRANGE(""https://docs.google.com/spreadsheets/d/1Yj_ptqi66GCucihVvJfMjLAmec39IyEx_6qawtMGysU/edit?usp=sharing"",""สบก!DD32"")"),0)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IFERROR(__xludf.DUMMYFUNCTION("IMPORTRANGE(""https://docs.google.com/spreadsheets/d/1Yj_ptqi66GCucihVvJfMjLAmec39IyEx_6qawtMGysU/edit?usp=sharing"",""สบก!CY32"")"),0)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IFERROR(__xludf.DUMMYFUNCTION("IMPORTRANGE(""https://docs.google.com/spreadsheets/d/1Yj_ptqi66GCucihVvJfMjLAmec39IyEx_6qawtMGysU/edit?usp=sharing"",""สบก!CZ32"")"),0)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IFERROR(__xludf.DUMMYFUNCTION("IMPORTRANGE(""https://docs.google.com/spreadsheets/d/1Yj_ptqi66GCucihVvJfMjLAmec39IyEx_6qawtMGysU/edit?usp=sharing"",""สบก!DA32"")"),0)</f>
        <v>0</v>
      </c>
      <c r="M318" s="103"/>
      <c r="N318" s="93">
        <f ca="1">IFERROR(__xludf.DUMMYFUNCTION("IMPORTRANGE(""https://docs.google.com/spreadsheets/d/1Yj_ptqi66GCucihVvJfMjLAmec39IyEx_6qawtMGysU/edit?usp=sharing"",""สบก!DE32"")"),0)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IFERROR(__xludf.DUMMYFUNCTION("IMPORTRANGE(""https://docs.google.com/spreadsheets/d/11923uPwbBZFjjGgGUA6NLw09EwE0CqkOc4q9oUmW1yo/edit?usp=sharing"",""ลำปาง!J220"")"),0)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IFERROR(__xludf.DUMMYFUNCTION("IMPORTRANGE(""https://docs.google.com/spreadsheets/d/11923uPwbBZFjjGgGUA6NLw09EwE0CqkOc4q9oUmW1yo/edit?usp=sharing"",""ลำปาง!J221"")"),0)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IFERROR(__xludf.DUMMYFUNCTION("IMPORTRANGE(""https://docs.google.com/spreadsheets/d/11923uPwbBZFjjGgGUA6NLw09EwE0CqkOc4q9oUmW1yo/edit?usp=sharing"",""ลำปาง!J222"")"),0)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IFERROR(__xludf.DUMMYFUNCTION("IMPORTRANGE(""https://docs.google.com/spreadsheets/d/11923uPwbBZFjjGgGUA6NLw09EwE0CqkOc4q9oUmW1yo/edit?usp=sharing"",""ลำปาง!J223"")"),0)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IFERROR(__xludf.DUMMYFUNCTION("IMPORTRANGE(""https://docs.google.com/spreadsheets/d/11923uPwbBZFjjGgGUA6NLw09EwE0CqkOc4q9oUmW1yo/edit?usp=sharing"",""ลำปาง!I224"")"),0)</f>
        <v>0</v>
      </c>
      <c r="J324" s="213">
        <f ca="1">IFERROR(__xludf.DUMMYFUNCTION("IMPORTRANGE(""https://docs.google.com/spreadsheets/d/11923uPwbBZFjjGgGUA6NLw09EwE0CqkOc4q9oUmW1yo/edit?usp=sharing"",""ลำปาง!J224"")"),0)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IFERROR(__xludf.DUMMYFUNCTION("IMPORTRANGE(""https://docs.google.com/spreadsheets/d/11923uPwbBZFjjGgGUA6NLw09EwE0CqkOc4q9oUmW1yo/edit?usp=sharing"",""ลำปาง!J225"")"),0)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IFERROR(__xludf.DUMMYFUNCTION("IMPORTRANGE(""https://docs.google.com/spreadsheets/d/11923uPwbBZFjjGgGUA6NLw09EwE0CqkOc4q9oUmW1yo/edit?usp=sharing"",""ลำปาง!J226"")"),0)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IFERROR(__xludf.DUMMYFUNCTION("IMPORTRANGE(""https://docs.google.com/spreadsheets/d/11923uPwbBZFjjGgGUA6NLw09EwE0CqkOc4q9oUmW1yo/edit?usp=sharing"",""ลำปาง!I228"")"),400)</f>
        <v>400</v>
      </c>
      <c r="J328" s="347">
        <f ca="1">IFERROR(__xludf.DUMMYFUNCTION("IMPORTRANGE(""https://docs.google.com/spreadsheets/d/11923uPwbBZFjjGgGUA6NLw09EwE0CqkOc4q9oUmW1yo/edit?usp=sharing"",""ลำปาง!J228"")"),136)</f>
        <v>136</v>
      </c>
      <c r="K328" s="325">
        <f ca="1">IF(I328&gt;0,J328*100/I328,0)</f>
        <v>34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1044600</v>
      </c>
      <c r="M329" s="158">
        <f t="shared" ca="1" si="98"/>
        <v>480610</v>
      </c>
      <c r="N329" s="158">
        <f t="shared" ca="1" si="98"/>
        <v>488178</v>
      </c>
      <c r="O329" s="157">
        <f t="shared" ref="O329:O331" ca="1" si="99">IF(L329&gt;0,N329*100/L329,0)</f>
        <v>46.733486502010336</v>
      </c>
      <c r="P329" s="157">
        <f t="shared" ref="P329:P331" ca="1" si="100">IF(M329&gt;0,N329*100/M329,0)</f>
        <v>101.57466552922328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1044600</v>
      </c>
      <c r="M331" s="163">
        <f t="shared" ca="1" si="102"/>
        <v>480610</v>
      </c>
      <c r="N331" s="163">
        <f t="shared" ca="1" si="102"/>
        <v>488178</v>
      </c>
      <c r="O331" s="162">
        <f t="shared" ca="1" si="99"/>
        <v>46.733486502010336</v>
      </c>
      <c r="P331" s="162">
        <f t="shared" ca="1" si="100"/>
        <v>101.57466552922328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897600</v>
      </c>
      <c r="M333" s="176">
        <f ca="1">IFERROR(__xludf.DUMMYFUNCTION("IMPORTRANGE(""https://docs.google.com/spreadsheets/d/1Yj_ptqi66GCucihVvJfMjLAmec39IyEx_6qawtMGysU/edit?usp=sharing"",""สบก!DL32"")"),480610)</f>
        <v>480610</v>
      </c>
      <c r="N333" s="177">
        <f ca="1">IFERROR(__xludf.DUMMYFUNCTION("IMPORTRANGE(""https://docs.google.com/spreadsheets/d/1Yj_ptqi66GCucihVvJfMjLAmec39IyEx_6qawtMGysU/edit?usp=sharing"",""สบก!DM32"")"),368178)</f>
        <v>368178</v>
      </c>
      <c r="O333" s="178">
        <f ca="1">IF(L333&gt;0,N333*100/L333,0)</f>
        <v>41.018048128342244</v>
      </c>
      <c r="P333" s="178">
        <f ca="1">IF(M333&gt;0,N333*100/M333,0)</f>
        <v>76.606396038367905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IFERROR(__xludf.DUMMYFUNCTION("IMPORTRANGE(""https://docs.google.com/spreadsheets/d/1Yj_ptqi66GCucihVvJfMjLAmec39IyEx_6qawtMGysU/edit?usp=sharing"",""สบก!DH32"")"),491200)</f>
        <v>491200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IFERROR(__xludf.DUMMYFUNCTION("IMPORTRANGE(""https://docs.google.com/spreadsheets/d/1Yj_ptqi66GCucihVvJfMjLAmec39IyEx_6qawtMGysU/edit?usp=sharing"",""สบก!DI32"")"),406400)</f>
        <v>406400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IFERROR(__xludf.DUMMYFUNCTION("IMPORTRANGE(""https://docs.google.com/spreadsheets/d/1Yj_ptqi66GCucihVvJfMjLAmec39IyEx_6qawtMGysU/edit?usp=sharing"",""สบก!DJ32"")"),147000)</f>
        <v>147000</v>
      </c>
      <c r="M337" s="103"/>
      <c r="N337" s="93">
        <f ca="1">IFERROR(__xludf.DUMMYFUNCTION("IMPORTRANGE(""https://docs.google.com/spreadsheets/d/1Yj_ptqi66GCucihVvJfMjLAmec39IyEx_6qawtMGysU/edit?usp=sharing"",""สบก!DN32"")"),120000)</f>
        <v>120000</v>
      </c>
      <c r="O337" s="103">
        <f ca="1">IF(L337&gt;0,N337*100/L337,0)</f>
        <v>81.632653061224488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IFERROR(__xludf.DUMMYFUNCTION("IMPORTRANGE(""https://docs.google.com/spreadsheets/d/11923uPwbBZFjjGgGUA6NLw09EwE0CqkOc4q9oUmW1yo/edit?usp=sharing"",""ลำปาง!I234"")"),0)</f>
        <v>0</v>
      </c>
      <c r="J339" s="197">
        <f ca="1">IFERROR(__xludf.DUMMYFUNCTION("IMPORTRANGE(""https://docs.google.com/spreadsheets/d/11923uPwbBZFjjGgGUA6NLw09EwE0CqkOc4q9oUmW1yo/edit?usp=sharing"",""ลำปาง!J234"")"),202)</f>
        <v>202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IFERROR(__xludf.DUMMYFUNCTION("IMPORTRANGE(""https://docs.google.com/spreadsheets/d/11923uPwbBZFjjGgGUA6NLw09EwE0CqkOc4q9oUmW1yo/edit?usp=sharing"",""ลำปาง!I235"")"),1700)</f>
        <v>1700</v>
      </c>
      <c r="J340" s="197">
        <f ca="1">IFERROR(__xludf.DUMMYFUNCTION("IMPORTRANGE(""https://docs.google.com/spreadsheets/d/11923uPwbBZFjjGgGUA6NLw09EwE0CqkOc4q9oUmW1yo/edit?usp=sharing"",""ลำปาง!J235"")"),1112.69)</f>
        <v>1112.69</v>
      </c>
      <c r="K340" s="350">
        <f t="shared" ca="1" si="103"/>
        <v>65.452352941176471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IFERROR(__xludf.DUMMYFUNCTION("IMPORTRANGE(""https://docs.google.com/spreadsheets/d/11923uPwbBZFjjGgGUA6NLw09EwE0CqkOc4q9oUmW1yo/edit?usp=sharing"",""ลำปาง!I236"")"),400)</f>
        <v>400</v>
      </c>
      <c r="J341" s="197">
        <f ca="1">IFERROR(__xludf.DUMMYFUNCTION("IMPORTRANGE(""https://docs.google.com/spreadsheets/d/11923uPwbBZFjjGgGUA6NLw09EwE0CqkOc4q9oUmW1yo/edit?usp=sharing"",""ลำปาง!J236"")"),184)</f>
        <v>184</v>
      </c>
      <c r="K341" s="350">
        <f t="shared" ca="1" si="103"/>
        <v>46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IFERROR(__xludf.DUMMYFUNCTION("IMPORTRANGE(""https://docs.google.com/spreadsheets/d/11923uPwbBZFjjGgGUA6NLw09EwE0CqkOc4q9oUmW1yo/edit?usp=sharing"",""ลำปาง!I237"")"),0)</f>
        <v>0</v>
      </c>
      <c r="J342" s="197">
        <f ca="1">IFERROR(__xludf.DUMMYFUNCTION("IMPORTRANGE(""https://docs.google.com/spreadsheets/d/11923uPwbBZFjjGgGUA6NLw09EwE0CqkOc4q9oUmW1yo/edit?usp=sharing"",""ลำปาง!J237"")"),1043.90999999999)</f>
        <v>1043.9099999999901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IFERROR(__xludf.DUMMYFUNCTION("IMPORTRANGE(""https://docs.google.com/spreadsheets/d/11923uPwbBZFjjGgGUA6NLw09EwE0CqkOc4q9oUmW1yo/edit?usp=sharing"",""ลำปาง!I238"")"),400)</f>
        <v>400</v>
      </c>
      <c r="J343" s="197">
        <f ca="1">IFERROR(__xludf.DUMMYFUNCTION("IMPORTRANGE(""https://docs.google.com/spreadsheets/d/11923uPwbBZFjjGgGUA6NLw09EwE0CqkOc4q9oUmW1yo/edit?usp=sharing"",""ลำปาง!J238"")"),1)</f>
        <v>1</v>
      </c>
      <c r="K343" s="350">
        <f t="shared" ca="1" si="103"/>
        <v>0.25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IFERROR(__xludf.DUMMYFUNCTION("IMPORTRANGE(""https://docs.google.com/spreadsheets/d/11923uPwbBZFjjGgGUA6NLw09EwE0CqkOc4q9oUmW1yo/edit?usp=sharing"",""ลำปาง!I239"")"),0)</f>
        <v>0</v>
      </c>
      <c r="J344" s="197">
        <f ca="1">IFERROR(__xludf.DUMMYFUNCTION("IMPORTRANGE(""https://docs.google.com/spreadsheets/d/11923uPwbBZFjjGgGUA6NLw09EwE0CqkOc4q9oUmW1yo/edit?usp=sharing"",""ลำปาง!J239"")"),1.13)</f>
        <v>1.1299999999999999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IFERROR(__xludf.DUMMYFUNCTION("IMPORTRANGE(""https://docs.google.com/spreadsheets/d/11923uPwbBZFjjGgGUA6NLw09EwE0CqkOc4q9oUmW1yo/edit?usp=sharing"",""ลำปาง!I240"")"),400)</f>
        <v>400</v>
      </c>
      <c r="J345" s="197">
        <f ca="1">IFERROR(__xludf.DUMMYFUNCTION("IMPORTRANGE(""https://docs.google.com/spreadsheets/d/11923uPwbBZFjjGgGUA6NLw09EwE0CqkOc4q9oUmW1yo/edit?usp=sharing"",""ลำปาง!J240"")"),136)</f>
        <v>136</v>
      </c>
      <c r="K345" s="350">
        <f t="shared" ca="1" si="103"/>
        <v>34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IFERROR(__xludf.DUMMYFUNCTION("IMPORTRANGE(""https://docs.google.com/spreadsheets/d/11923uPwbBZFjjGgGUA6NLw09EwE0CqkOc4q9oUmW1yo/edit?usp=sharing"",""ลำปาง!I241"")"),0)</f>
        <v>0</v>
      </c>
      <c r="J346" s="197">
        <f ca="1">IFERROR(__xludf.DUMMYFUNCTION("IMPORTRANGE(""https://docs.google.com/spreadsheets/d/11923uPwbBZFjjGgGUA6NLw09EwE0CqkOc4q9oUmW1yo/edit?usp=sharing"",""ลำปาง!J241"")"),742.54)</f>
        <v>742.54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IFERROR(__xludf.DUMMYFUNCTION("IMPORTRANGE(""https://docs.google.com/spreadsheets/d/11923uPwbBZFjjGgGUA6NLw09EwE0CqkOc4q9oUmW1yo/edit?usp=sharing"",""ลำปาง!L242"")"),2608935)</f>
        <v>2608935</v>
      </c>
      <c r="M347" s="366"/>
      <c r="N347" s="366">
        <f ca="1">IFERROR(__xludf.DUMMYFUNCTION("IMPORTRANGE(""https://docs.google.com/spreadsheets/d/11923uPwbBZFjjGgGUA6NLw09EwE0CqkOc4q9oUmW1yo/edit?usp=sharing"",""ลำปาง!M242"")"),277573.31)</f>
        <v>277573.31</v>
      </c>
      <c r="O347" s="366">
        <f ca="1">+IF(L347&gt;0,N347*100/L347,0)</f>
        <v>10.639334057766867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IFERROR(__xludf.DUMMYFUNCTION("IMPORTRANGE(""https://docs.google.com/spreadsheets/d/11923uPwbBZFjjGgGUA6NLw09EwE0CqkOc4q9oUmW1yo/edit?usp=sharing"",""ลำปาง!I244"")"),50)</f>
        <v>50</v>
      </c>
      <c r="J349" s="379">
        <f ca="1">IFERROR(__xludf.DUMMYFUNCTION("IMPORTRANGE(""https://docs.google.com/spreadsheets/d/11923uPwbBZFjjGgGUA6NLw09EwE0CqkOc4q9oUmW1yo/edit?usp=sharing"",""ลำปาง!J244"")"),0)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IFERROR(__xludf.DUMMYFUNCTION("IMPORTRANGE(""https://docs.google.com/spreadsheets/d/11923uPwbBZFjjGgGUA6NLw09EwE0CqkOc4q9oUmW1yo/edit?usp=sharing"",""ลำปาง!L244"")"),230720)</f>
        <v>230720</v>
      </c>
      <c r="M349" s="381"/>
      <c r="N349" s="381">
        <f ca="1">IFERROR(__xludf.DUMMYFUNCTION("IMPORTRANGE(""https://docs.google.com/spreadsheets/d/11923uPwbBZFjjGgGUA6NLw09EwE0CqkOc4q9oUmW1yo/edit?usp=sharing"",""ลำปาง!M244"")"),37600.04)</f>
        <v>37600.04</v>
      </c>
      <c r="O349" s="381">
        <f ca="1">+IF(L349&gt;0,N349*100/L349,0)</f>
        <v>16.296827323162276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IFERROR(__xludf.DUMMYFUNCTION("IMPORTRANGE(""https://docs.google.com/spreadsheets/d/11923uPwbBZFjjGgGUA6NLw09EwE0CqkOc4q9oUmW1yo/edit?usp=sharing"",""ลำปาง!I245"")"),10)</f>
        <v>10</v>
      </c>
      <c r="J350" s="379">
        <f ca="1">IFERROR(__xludf.DUMMYFUNCTION("IMPORTRANGE(""https://docs.google.com/spreadsheets/d/11923uPwbBZFjjGgGUA6NLw09EwE0CqkOc4q9oUmW1yo/edit?usp=sharing"",""ลำปาง!J245"")"),0)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IFERROR(__xludf.DUMMYFUNCTION("IMPORTRANGE(""https://docs.google.com/spreadsheets/d/11923uPwbBZFjjGgGUA6NLw09EwE0CqkOc4q9oUmW1yo/edit?usp=sharing"",""ลำปาง!L246"")"),0)</f>
        <v>0</v>
      </c>
      <c r="M351" s="172"/>
      <c r="N351" s="172">
        <f ca="1">IFERROR(__xludf.DUMMYFUNCTION("IMPORTRANGE(""https://docs.google.com/spreadsheets/d/11923uPwbBZFjjGgGUA6NLw09EwE0CqkOc4q9oUmW1yo/edit?usp=sharing"",""ลำปาง!M246"")"),0)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IFERROR(__xludf.DUMMYFUNCTION("IMPORTRANGE(""https://docs.google.com/spreadsheets/d/11923uPwbBZFjjGgGUA6NLw09EwE0CqkOc4q9oUmW1yo/edit?usp=sharing"",""ลำปาง!L247"")"),230720)</f>
        <v>230720</v>
      </c>
      <c r="M352" s="173"/>
      <c r="N352" s="172">
        <f ca="1">IFERROR(__xludf.DUMMYFUNCTION("IMPORTRANGE(""https://docs.google.com/spreadsheets/d/11923uPwbBZFjjGgGUA6NLw09EwE0CqkOc4q9oUmW1yo/edit?usp=sharing"",""ลำปาง!M247"")"),37600.04)</f>
        <v>37600.04</v>
      </c>
      <c r="O352" s="173">
        <f t="shared" ca="1" si="105"/>
        <v>16.296827323162276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IFERROR(__xludf.DUMMYFUNCTION("IMPORTRANGE(""https://docs.google.com/spreadsheets/d/11923uPwbBZFjjGgGUA6NLw09EwE0CqkOc4q9oUmW1yo/edit?usp=sharing"",""ลำปาง!L248"")"),0)</f>
        <v>0</v>
      </c>
      <c r="M353" s="178"/>
      <c r="N353" s="178">
        <f ca="1">IFERROR(__xludf.DUMMYFUNCTION("IMPORTRANGE(""https://docs.google.com/spreadsheets/d/11923uPwbBZFjjGgGUA6NLw09EwE0CqkOc4q9oUmW1yo/edit?usp=sharing"",""ลำปาง!M248"")"),0)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IFERROR(__xludf.DUMMYFUNCTION("IMPORTRANGE(""https://docs.google.com/spreadsheets/d/11923uPwbBZFjjGgGUA6NLw09EwE0CqkOc4q9oUmW1yo/edit?usp=sharing"",""ลำปาง!L249"")"),230720)</f>
        <v>230720</v>
      </c>
      <c r="M354" s="178"/>
      <c r="N354" s="175">
        <f ca="1">IFERROR(__xludf.DUMMYFUNCTION("IMPORTRANGE(""https://docs.google.com/spreadsheets/d/11923uPwbBZFjjGgGUA6NLw09EwE0CqkOc4q9oUmW1yo/edit?usp=sharing"",""ลำปาง!M249"")"),37600.04)</f>
        <v>37600.04</v>
      </c>
      <c r="O354" s="178">
        <f t="shared" ca="1" si="105"/>
        <v>16.296827323162276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IFERROR(__xludf.DUMMYFUNCTION("IMPORTRANGE(""https://docs.google.com/spreadsheets/d/11923uPwbBZFjjGgGUA6NLw09EwE0CqkOc4q9oUmW1yo/edit?usp=sharing"",""ลำปาง!M250"")"),5320)</f>
        <v>5320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IFERROR(__xludf.DUMMYFUNCTION("IMPORTRANGE(""https://docs.google.com/spreadsheets/d/11923uPwbBZFjjGgGUA6NLw09EwE0CqkOc4q9oUmW1yo/edit?usp=sharing"",""ลำปาง!M251"")"),0)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IFERROR(__xludf.DUMMYFUNCTION("IMPORTRANGE(""https://docs.google.com/spreadsheets/d/11923uPwbBZFjjGgGUA6NLw09EwE0CqkOc4q9oUmW1yo/edit?usp=sharing"",""ลำปาง!M252"")"),30800.04)</f>
        <v>30800.04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IFERROR(__xludf.DUMMYFUNCTION("IMPORTRANGE(""https://docs.google.com/spreadsheets/d/11923uPwbBZFjjGgGUA6NLw09EwE0CqkOc4q9oUmW1yo/edit?usp=sharing"",""ลำปาง!M253"")"),1480)</f>
        <v>1480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IFERROR(__xludf.DUMMYFUNCTION("IMPORTRANGE(""https://docs.google.com/spreadsheets/d/11923uPwbBZFjjGgGUA6NLw09EwE0CqkOc4q9oUmW1yo/edit?usp=sharing"",""ลำปาง!J255"")"),0)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IFERROR(__xludf.DUMMYFUNCTION("IMPORTRANGE(""https://docs.google.com/spreadsheets/d/11923uPwbBZFjjGgGUA6NLw09EwE0CqkOc4q9oUmW1yo/edit?usp=sharing"",""ลำปาง!J256"")"),1)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IFERROR(__xludf.DUMMYFUNCTION("IMPORTRANGE(""https://docs.google.com/spreadsheets/d/11923uPwbBZFjjGgGUA6NLw09EwE0CqkOc4q9oUmW1yo/edit?usp=sharing"",""ลำปาง!J257"")"),1)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IFERROR(__xludf.DUMMYFUNCTION("IMPORTRANGE(""https://docs.google.com/spreadsheets/d/11923uPwbBZFjjGgGUA6NLw09EwE0CqkOc4q9oUmW1yo/edit?usp=sharing"",""ลำปาง!J258"")"),1)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IFERROR(__xludf.DUMMYFUNCTION("IMPORTRANGE(""https://docs.google.com/spreadsheets/d/11923uPwbBZFjjGgGUA6NLw09EwE0CqkOc4q9oUmW1yo/edit?usp=sharing"",""ลำปาง!J166"")"),0)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IFERROR(__xludf.DUMMYFUNCTION("IMPORTRANGE(""https://docs.google.com/spreadsheets/d/11923uPwbBZFjjGgGUA6NLw09EwE0CqkOc4q9oUmW1yo/edit?usp=sharing"",""ลำปาง!J166"")"),0)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IFERROR(__xludf.DUMMYFUNCTION("IMPORTRANGE(""https://docs.google.com/spreadsheets/d/11923uPwbBZFjjGgGUA6NLw09EwE0CqkOc4q9oUmW1yo/edit?usp=sharing"",""ลำปาง!J166"")"),0)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IFERROR(__xludf.DUMMYFUNCTION("IMPORTRANGE(""https://docs.google.com/spreadsheets/d/11923uPwbBZFjjGgGUA6NLw09EwE0CqkOc4q9oUmW1yo/edit?usp=sharing"",""ลำปาง!J166"")"),0)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IFERROR(__xludf.DUMMYFUNCTION("IMPORTRANGE(""https://docs.google.com/spreadsheets/d/11923uPwbBZFjjGgGUA6NLw09EwE0CqkOc4q9oUmW1yo/edit?usp=sharing"",""ลำปาง!I263"")"),10)</f>
        <v>10</v>
      </c>
      <c r="J368" s="197">
        <f ca="1">IFERROR(__xludf.DUMMYFUNCTION("IMPORTRANGE(""https://docs.google.com/spreadsheets/d/11923uPwbBZFjjGgGUA6NLw09EwE0CqkOc4q9oUmW1yo/edit?usp=sharing"",""ลำปาง!J263"")"),0)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IFERROR(__xludf.DUMMYFUNCTION("IMPORTRANGE(""https://docs.google.com/spreadsheets/d/11923uPwbBZFjjGgGUA6NLw09EwE0CqkOc4q9oUmW1yo/edit?usp=sharing"",""ลำปาง!I164"")"),0)</f>
        <v>0</v>
      </c>
      <c r="J369" s="213">
        <f ca="1">IFERROR(__xludf.DUMMYFUNCTION("IMPORTRANGE(""https://docs.google.com/spreadsheets/d/11923uPwbBZFjjGgGUA6NLw09EwE0CqkOc4q9oUmW1yo/edit?usp=sharing"",""ลำปาง!J164"")"),0)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IFERROR(__xludf.DUMMYFUNCTION("IMPORTRANGE(""https://docs.google.com/spreadsheets/d/11923uPwbBZFjjGgGUA6NLw09EwE0CqkOc4q9oUmW1yo/edit?usp=sharing"",""ลำปาง!I265"")"),10)</f>
        <v>10</v>
      </c>
      <c r="J370" s="213">
        <f ca="1">IFERROR(__xludf.DUMMYFUNCTION("IMPORTRANGE(""https://docs.google.com/spreadsheets/d/11923uPwbBZFjjGgGUA6NLw09EwE0CqkOc4q9oUmW1yo/edit?usp=sharing"",""ลำปาง!J265"")"),14)</f>
        <v>14</v>
      </c>
      <c r="K370" s="171">
        <f t="shared" ca="1" si="106"/>
        <v>140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IFERROR(__xludf.DUMMYFUNCTION("IMPORTRANGE(""https://docs.google.com/spreadsheets/d/11923uPwbBZFjjGgGUA6NLw09EwE0CqkOc4q9oUmW1yo/edit?usp=sharing"",""ลำปาง!I164"")"),0)</f>
        <v>0</v>
      </c>
      <c r="J371" s="198">
        <f ca="1">IFERROR(__xludf.DUMMYFUNCTION("IMPORTRANGE(""https://docs.google.com/spreadsheets/d/11923uPwbBZFjjGgGUA6NLw09EwE0CqkOc4q9oUmW1yo/edit?usp=sharing"",""ลำปาง!J164"")"),0)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IFERROR(__xludf.DUMMYFUNCTION("IMPORTRANGE(""https://docs.google.com/spreadsheets/d/11923uPwbBZFjjGgGUA6NLw09EwE0CqkOc4q9oUmW1yo/edit?usp=sharing"",""ลำปาง!I267"")"),10)</f>
        <v>10</v>
      </c>
      <c r="J372" s="198">
        <f ca="1">IFERROR(__xludf.DUMMYFUNCTION("IMPORTRANGE(""https://docs.google.com/spreadsheets/d/11923uPwbBZFjjGgGUA6NLw09EwE0CqkOc4q9oUmW1yo/edit?usp=sharing"",""ลำปาง!J267"")"),0)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IFERROR(__xludf.DUMMYFUNCTION("IMPORTRANGE(""https://docs.google.com/spreadsheets/d/11923uPwbBZFjjGgGUA6NLw09EwE0CqkOc4q9oUmW1yo/edit?usp=sharing"",""ลำปาง!I164"")"),0)</f>
        <v>0</v>
      </c>
      <c r="J373" s="213">
        <f ca="1">IFERROR(__xludf.DUMMYFUNCTION("IMPORTRANGE(""https://docs.google.com/spreadsheets/d/11923uPwbBZFjjGgGUA6NLw09EwE0CqkOc4q9oUmW1yo/edit?usp=sharing"",""ลำปาง!J164"")"),0)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IFERROR(__xludf.DUMMYFUNCTION("IMPORTRANGE(""https://docs.google.com/spreadsheets/d/11923uPwbBZFjjGgGUA6NLw09EwE0CqkOc4q9oUmW1yo/edit?usp=sharing"",""ลำปาง!I164"")"),0)</f>
        <v>0</v>
      </c>
      <c r="J374" s="197">
        <f ca="1">IFERROR(__xludf.DUMMYFUNCTION("IMPORTRANGE(""https://docs.google.com/spreadsheets/d/11923uPwbBZFjjGgGUA6NLw09EwE0CqkOc4q9oUmW1yo/edit?usp=sharing"",""ลำปาง!J164"")"),0)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IFERROR(__xludf.DUMMYFUNCTION("IMPORTRANGE(""https://docs.google.com/spreadsheets/d/11923uPwbBZFjjGgGUA6NLw09EwE0CqkOc4q9oUmW1yo/edit?usp=sharing"",""ลำปาง!I270"")"),50)</f>
        <v>50</v>
      </c>
      <c r="J375" s="197">
        <f ca="1">IFERROR(__xludf.DUMMYFUNCTION("IMPORTRANGE(""https://docs.google.com/spreadsheets/d/11923uPwbBZFjjGgGUA6NLw09EwE0CqkOc4q9oUmW1yo/edit?usp=sharing"",""ลำปาง!J270"")"),0)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IFERROR(__xludf.DUMMYFUNCTION("IMPORTRANGE(""https://docs.google.com/spreadsheets/d/11923uPwbBZFjjGgGUA6NLw09EwE0CqkOc4q9oUmW1yo/edit?usp=sharing"",""ลำปาง!I271"")"),0)</f>
        <v>0</v>
      </c>
      <c r="J376" s="198">
        <f ca="1">IFERROR(__xludf.DUMMYFUNCTION("IMPORTRANGE(""https://docs.google.com/spreadsheets/d/11923uPwbBZFjjGgGUA6NLw09EwE0CqkOc4q9oUmW1yo/edit?usp=sharing"",""ลำปาง!J271"")"),0)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IFERROR(__xludf.DUMMYFUNCTION("IMPORTRANGE(""https://docs.google.com/spreadsheets/d/11923uPwbBZFjjGgGUA6NLw09EwE0CqkOc4q9oUmW1yo/edit?usp=sharing"",""ลำปาง!I272"")"),50)</f>
        <v>50</v>
      </c>
      <c r="J377" s="213">
        <f ca="1">IFERROR(__xludf.DUMMYFUNCTION("IMPORTRANGE(""https://docs.google.com/spreadsheets/d/11923uPwbBZFjjGgGUA6NLw09EwE0CqkOc4q9oUmW1yo/edit?usp=sharing"",""ลำปาง!J272"")"),0)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IFERROR(__xludf.DUMMYFUNCTION("IMPORTRANGE(""https://docs.google.com/spreadsheets/d/11923uPwbBZFjjGgGUA6NLw09EwE0CqkOc4q9oUmW1yo/edit?usp=sharing"",""ลำปาง!J273"")"),0)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IFERROR(__xludf.DUMMYFUNCTION("IMPORTRANGE(""https://docs.google.com/spreadsheets/d/11923uPwbBZFjjGgGUA6NLw09EwE0CqkOc4q9oUmW1yo/edit?usp=sharing"",""ลำปาง!J274"")"),0)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IFERROR(__xludf.DUMMYFUNCTION("IMPORTRANGE(""https://docs.google.com/spreadsheets/d/11923uPwbBZFjjGgGUA6NLw09EwE0CqkOc4q9oUmW1yo/edit?usp=sharing"",""ลำปาง!I275"")"),1000)</f>
        <v>1000</v>
      </c>
      <c r="J380" s="379">
        <f ca="1">IFERROR(__xludf.DUMMYFUNCTION("IMPORTRANGE(""https://docs.google.com/spreadsheets/d/11923uPwbBZFjjGgGUA6NLw09EwE0CqkOc4q9oUmW1yo/edit?usp=sharing"",""ลำปาง!J275"")"),0)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IFERROR(__xludf.DUMMYFUNCTION("IMPORTRANGE(""https://docs.google.com/spreadsheets/d/11923uPwbBZFjjGgGUA6NLw09EwE0CqkOc4q9oUmW1yo/edit?usp=sharing"",""ลำปาง!L275"")"),1028520)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IFERROR(__xludf.DUMMYFUNCTION("IMPORTRANGE(""https://docs.google.com/spreadsheets/d/11923uPwbBZFjjGgGUA6NLw09EwE0CqkOc4q9oUmW1yo/edit?usp=sharing"",""ลำปาง!M275"")"),42446.7)</f>
        <v>42446.7</v>
      </c>
      <c r="O380" s="381">
        <f ca="1">+IF(L380&gt;0,N380*100/L380,0)</f>
        <v>4.1269688484424218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IFERROR(__xludf.DUMMYFUNCTION("IMPORTRANGE(""https://docs.google.com/spreadsheets/d/11923uPwbBZFjjGgGUA6NLw09EwE0CqkOc4q9oUmW1yo/edit?usp=sharing"",""ลำปาง!I276"")"),100)</f>
        <v>100</v>
      </c>
      <c r="J381" s="379">
        <f ca="1">IFERROR(__xludf.DUMMYFUNCTION("IMPORTRANGE(""https://docs.google.com/spreadsheets/d/11923uPwbBZFjjGgGUA6NLw09EwE0CqkOc4q9oUmW1yo/edit?usp=sharing"",""ลำปาง!J276"")"),0)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IFERROR(__xludf.DUMMYFUNCTION("IMPORTRANGE(""https://docs.google.com/spreadsheets/d/11923uPwbBZFjjGgGUA6NLw09EwE0CqkOc4q9oUmW1yo/edit?usp=sharing"",""ลำปาง!L277"")"),0)</f>
        <v>0</v>
      </c>
      <c r="M382" s="172"/>
      <c r="N382" s="172">
        <f ca="1">IFERROR(__xludf.DUMMYFUNCTION("IMPORTRANGE(""https://docs.google.com/spreadsheets/d/11923uPwbBZFjjGgGUA6NLw09EwE0CqkOc4q9oUmW1yo/edit?usp=sharing"",""ลำปาง!M277"")"),0)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IFERROR(__xludf.DUMMYFUNCTION("IMPORTRANGE(""https://docs.google.com/spreadsheets/d/11923uPwbBZFjjGgGUA6NLw09EwE0CqkOc4q9oUmW1yo/edit?usp=sharing"",""ลำปาง!L278"")"),1028520)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IFERROR(__xludf.DUMMYFUNCTION("IMPORTRANGE(""https://docs.google.com/spreadsheets/d/11923uPwbBZFjjGgGUA6NLw09EwE0CqkOc4q9oUmW1yo/edit?usp=sharing"",""ลำปาง!M278"")"),42446.7)</f>
        <v>42446.7</v>
      </c>
      <c r="O383" s="173">
        <f t="shared" ca="1" si="109"/>
        <v>4.1269688484424218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IFERROR(__xludf.DUMMYFUNCTION("IMPORTRANGE(""https://docs.google.com/spreadsheets/d/11923uPwbBZFjjGgGUA6NLw09EwE0CqkOc4q9oUmW1yo/edit?usp=sharing"",""ลำปาง!L279"")"),0)</f>
        <v>0</v>
      </c>
      <c r="M384" s="178"/>
      <c r="N384" s="178">
        <f ca="1">IFERROR(__xludf.DUMMYFUNCTION("IMPORTRANGE(""https://docs.google.com/spreadsheets/d/11923uPwbBZFjjGgGUA6NLw09EwE0CqkOc4q9oUmW1yo/edit?usp=sharing"",""ลำปาง!M279"")"),0)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IFERROR(__xludf.DUMMYFUNCTION("IMPORTRANGE(""https://docs.google.com/spreadsheets/d/11923uPwbBZFjjGgGUA6NLw09EwE0CqkOc4q9oUmW1yo/edit?usp=sharing"",""ลำปาง!L280"")"),1028520)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IFERROR(__xludf.DUMMYFUNCTION("IMPORTRANGE(""https://docs.google.com/spreadsheets/d/11923uPwbBZFjjGgGUA6NLw09EwE0CqkOc4q9oUmW1yo/edit?usp=sharing"",""ลำปาง!M280"")"),42446.7)</f>
        <v>42446.7</v>
      </c>
      <c r="O385" s="178">
        <f t="shared" ca="1" si="109"/>
        <v>4.1269688484424218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IFERROR(__xludf.DUMMYFUNCTION("IMPORTRANGE(""https://docs.google.com/spreadsheets/d/11923uPwbBZFjjGgGUA6NLw09EwE0CqkOc4q9oUmW1yo/edit?usp=sharing"",""ลำปาง!M281"")"),0)</f>
        <v>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IFERROR(__xludf.DUMMYFUNCTION("IMPORTRANGE(""https://docs.google.com/spreadsheets/d/11923uPwbBZFjjGgGUA6NLw09EwE0CqkOc4q9oUmW1yo/edit?usp=sharing"",""ลำปาง!M282"")"),0)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IFERROR(__xludf.DUMMYFUNCTION("IMPORTRANGE(""https://docs.google.com/spreadsheets/d/11923uPwbBZFjjGgGUA6NLw09EwE0CqkOc4q9oUmW1yo/edit?usp=sharing"",""ลำปาง!M283"")"),31166.7)</f>
        <v>31166.7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IFERROR(__xludf.DUMMYFUNCTION("IMPORTRANGE(""https://docs.google.com/spreadsheets/d/11923uPwbBZFjjGgGUA6NLw09EwE0CqkOc4q9oUmW1yo/edit?usp=sharing"",""ลำปาง!M284"")"),11280)</f>
        <v>11280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IFERROR(__xludf.DUMMYFUNCTION("IMPORTRANGE(""https://docs.google.com/spreadsheets/d/11923uPwbBZFjjGgGUA6NLw09EwE0CqkOc4q9oUmW1yo/edit?usp=sharing"",""ลำปาง!J286"")"),0)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IFERROR(__xludf.DUMMYFUNCTION("IMPORTRANGE(""https://docs.google.com/spreadsheets/d/11923uPwbBZFjjGgGUA6NLw09EwE0CqkOc4q9oUmW1yo/edit?usp=sharing"",""ลำปาง!J287"")"),1)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IFERROR(__xludf.DUMMYFUNCTION("IMPORTRANGE(""https://docs.google.com/spreadsheets/d/11923uPwbBZFjjGgGUA6NLw09EwE0CqkOc4q9oUmW1yo/edit?usp=sharing"",""ลำปาง!J288"")"),1)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IFERROR(__xludf.DUMMYFUNCTION("IMPORTRANGE(""https://docs.google.com/spreadsheets/d/11923uPwbBZFjjGgGUA6NLw09EwE0CqkOc4q9oUmW1yo/edit?usp=sharing"",""ลำปาง!J289"")"),1)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IFERROR(__xludf.DUMMYFUNCTION("IMPORTRANGE(""https://docs.google.com/spreadsheets/d/11923uPwbBZFjjGgGUA6NLw09EwE0CqkOc4q9oUmW1yo/edit?usp=sharing"",""ลำปาง!I291"")"),100)</f>
        <v>100</v>
      </c>
      <c r="J396" s="207">
        <f ca="1">IFERROR(__xludf.DUMMYFUNCTION("IMPORTRANGE(""https://docs.google.com/spreadsheets/d/11923uPwbBZFjjGgGUA6NLw09EwE0CqkOc4q9oUmW1yo/edit?usp=sharing"",""ลำปาง!J291"")"),0)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IFERROR(__xludf.DUMMYFUNCTION("IMPORTRANGE(""https://docs.google.com/spreadsheets/d/11923uPwbBZFjjGgGUA6NLw09EwE0CqkOc4q9oUmW1yo/edit?usp=sharing"",""ลำปาง!I292"")"),1000)</f>
        <v>1000</v>
      </c>
      <c r="J397" s="207">
        <f ca="1">IFERROR(__xludf.DUMMYFUNCTION("IMPORTRANGE(""https://docs.google.com/spreadsheets/d/11923uPwbBZFjjGgGUA6NLw09EwE0CqkOc4q9oUmW1yo/edit?usp=sharing"",""ลำปาง!J292"")"),0)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IFERROR(__xludf.DUMMYFUNCTION("IMPORTRANGE(""https://docs.google.com/spreadsheets/d/11923uPwbBZFjjGgGUA6NLw09EwE0CqkOc4q9oUmW1yo/edit?usp=sharing"",""ลำปาง!I293"")"),100)</f>
        <v>100</v>
      </c>
      <c r="J398" s="207">
        <f ca="1">IFERROR(__xludf.DUMMYFUNCTION("IMPORTRANGE(""https://docs.google.com/spreadsheets/d/11923uPwbBZFjjGgGUA6NLw09EwE0CqkOc4q9oUmW1yo/edit?usp=sharing"",""ลำปาง!J293"")"),0)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IFERROR(__xludf.DUMMYFUNCTION("IMPORTRANGE(""https://docs.google.com/spreadsheets/d/11923uPwbBZFjjGgGUA6NLw09EwE0CqkOc4q9oUmW1yo/edit?usp=sharing"",""ลำปาง!J294"")"),0)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IFERROR(__xludf.DUMMYFUNCTION("IMPORTRANGE(""https://docs.google.com/spreadsheets/d/11923uPwbBZFjjGgGUA6NLw09EwE0CqkOc4q9oUmW1yo/edit?usp=sharing"",""ลำปาง!J295"")"),0)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IFERROR(__xludf.DUMMYFUNCTION("IMPORTRANGE(""https://docs.google.com/spreadsheets/d/11923uPwbBZFjjGgGUA6NLw09EwE0CqkOc4q9oUmW1yo/edit?usp=sharing"",""ลำปาง!I296"")"),120)</f>
        <v>120</v>
      </c>
      <c r="J401" s="379">
        <f ca="1">IFERROR(__xludf.DUMMYFUNCTION("IMPORTRANGE(""https://docs.google.com/spreadsheets/d/11923uPwbBZFjjGgGUA6NLw09EwE0CqkOc4q9oUmW1yo/edit?usp=sharing"",""ลำปาง!J296"")"),0)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IFERROR(__xludf.DUMMYFUNCTION("IMPORTRANGE(""https://docs.google.com/spreadsheets/d/11923uPwbBZFjjGgGUA6NLw09EwE0CqkOc4q9oUmW1yo/edit?usp=sharing"",""ลำปาง!L296"")"),144560)</f>
        <v>144560</v>
      </c>
      <c r="M401" s="381"/>
      <c r="N401" s="381">
        <f ca="1">IFERROR(__xludf.DUMMYFUNCTION("IMPORTRANGE(""https://docs.google.com/spreadsheets/d/11923uPwbBZFjjGgGUA6NLw09EwE0CqkOc4q9oUmW1yo/edit?usp=sharing"",""ลำปาง!M296"")"),10000)</f>
        <v>10000</v>
      </c>
      <c r="O401" s="381">
        <f ca="1">+IF(L401&gt;0,N401*100/L401,0)</f>
        <v>6.9175428887659107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IFERROR(__xludf.DUMMYFUNCTION("IMPORTRANGE(""https://docs.google.com/spreadsheets/d/11923uPwbBZFjjGgGUA6NLw09EwE0CqkOc4q9oUmW1yo/edit?usp=sharing"",""ลำปาง!I297"")"),40)</f>
        <v>40</v>
      </c>
      <c r="J402" s="379">
        <f ca="1">IFERROR(__xludf.DUMMYFUNCTION("IMPORTRANGE(""https://docs.google.com/spreadsheets/d/11923uPwbBZFjjGgGUA6NLw09EwE0CqkOc4q9oUmW1yo/edit?usp=sharing"",""ลำปาง!J297"")"),0)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IFERROR(__xludf.DUMMYFUNCTION("IMPORTRANGE(""https://docs.google.com/spreadsheets/d/11923uPwbBZFjjGgGUA6NLw09EwE0CqkOc4q9oUmW1yo/edit?usp=sharing"",""ลำปาง!L298"")"),0)</f>
        <v>0</v>
      </c>
      <c r="M403" s="172"/>
      <c r="N403" s="178">
        <f ca="1">IFERROR(__xludf.DUMMYFUNCTION("IMPORTRANGE(""https://docs.google.com/spreadsheets/d/11923uPwbBZFjjGgGUA6NLw09EwE0CqkOc4q9oUmW1yo/edit?usp=sharing"",""ลำปาง!M298"")"),0)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IFERROR(__xludf.DUMMYFUNCTION("IMPORTRANGE(""https://docs.google.com/spreadsheets/d/11923uPwbBZFjjGgGUA6NLw09EwE0CqkOc4q9oUmW1yo/edit?usp=sharing"",""ลำปาง!L299"")"),144560)</f>
        <v>144560</v>
      </c>
      <c r="M404" s="173"/>
      <c r="N404" s="178">
        <f ca="1">IFERROR(__xludf.DUMMYFUNCTION("IMPORTRANGE(""https://docs.google.com/spreadsheets/d/11923uPwbBZFjjGgGUA6NLw09EwE0CqkOc4q9oUmW1yo/edit?usp=sharing"",""ลำปาง!M299"")"),10000)</f>
        <v>10000</v>
      </c>
      <c r="O404" s="178">
        <f t="shared" ca="1" si="112"/>
        <v>6.9175428887659107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IFERROR(__xludf.DUMMYFUNCTION("IMPORTRANGE(""https://docs.google.com/spreadsheets/d/11923uPwbBZFjjGgGUA6NLw09EwE0CqkOc4q9oUmW1yo/edit?usp=sharing"",""ลำปาง!L300"")"),0)</f>
        <v>0</v>
      </c>
      <c r="M405" s="178"/>
      <c r="N405" s="178">
        <f ca="1">IFERROR(__xludf.DUMMYFUNCTION("IMPORTRANGE(""https://docs.google.com/spreadsheets/d/11923uPwbBZFjjGgGUA6NLw09EwE0CqkOc4q9oUmW1yo/edit?usp=sharing"",""ลำปาง!M300"")"),0)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IFERROR(__xludf.DUMMYFUNCTION("IMPORTRANGE(""https://docs.google.com/spreadsheets/d/11923uPwbBZFjjGgGUA6NLw09EwE0CqkOc4q9oUmW1yo/edit?usp=sharing"",""ลำปาง!L301"")"),144560)</f>
        <v>144560</v>
      </c>
      <c r="M406" s="178"/>
      <c r="N406" s="178">
        <f ca="1">IFERROR(__xludf.DUMMYFUNCTION("IMPORTRANGE(""https://docs.google.com/spreadsheets/d/11923uPwbBZFjjGgGUA6NLw09EwE0CqkOc4q9oUmW1yo/edit?usp=sharing"",""ลำปาง!M301"")"),10000)</f>
        <v>10000</v>
      </c>
      <c r="O406" s="178">
        <f t="shared" ca="1" si="112"/>
        <v>6.9175428887659107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IFERROR(__xludf.DUMMYFUNCTION("IMPORTRANGE(""https://docs.google.com/spreadsheets/d/11923uPwbBZFjjGgGUA6NLw09EwE0CqkOc4q9oUmW1yo/edit?usp=sharing"",""ลำปาง!M302"")"),0)</f>
        <v>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IFERROR(__xludf.DUMMYFUNCTION("IMPORTRANGE(""https://docs.google.com/spreadsheets/d/11923uPwbBZFjjGgGUA6NLw09EwE0CqkOc4q9oUmW1yo/edit?usp=sharing"",""ลำปาง!M303"")"),0)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IFERROR(__xludf.DUMMYFUNCTION("IMPORTRANGE(""https://docs.google.com/spreadsheets/d/11923uPwbBZFjjGgGUA6NLw09EwE0CqkOc4q9oUmW1yo/edit?usp=sharing"",""ลำปาง!M304"")"),0)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IFERROR(__xludf.DUMMYFUNCTION("IMPORTRANGE(""https://docs.google.com/spreadsheets/d/11923uPwbBZFjjGgGUA6NLw09EwE0CqkOc4q9oUmW1yo/edit?usp=sharing"",""ลำปาง!M305"")"),10000)</f>
        <v>10000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IFERROR(__xludf.DUMMYFUNCTION("IMPORTRANGE(""https://docs.google.com/spreadsheets/d/11923uPwbBZFjjGgGUA6NLw09EwE0CqkOc4q9oUmW1yo/edit?usp=sharing"",""ลำปาง!J307"")"),0)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IFERROR(__xludf.DUMMYFUNCTION("IMPORTRANGE(""https://docs.google.com/spreadsheets/d/11923uPwbBZFjjGgGUA6NLw09EwE0CqkOc4q9oUmW1yo/edit?usp=sharing"",""ลำปาง!J308"")"),1)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IFERROR(__xludf.DUMMYFUNCTION("IMPORTRANGE(""https://docs.google.com/spreadsheets/d/11923uPwbBZFjjGgGUA6NLw09EwE0CqkOc4q9oUmW1yo/edit?usp=sharing"",""ลำปาง!J309"")"),1)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IFERROR(__xludf.DUMMYFUNCTION("IMPORTRANGE(""https://docs.google.com/spreadsheets/d/11923uPwbBZFjjGgGUA6NLw09EwE0CqkOc4q9oUmW1yo/edit?usp=sharing"",""ลำปาง!J310"")"),1)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IFERROR(__xludf.DUMMYFUNCTION("IMPORTRANGE(""https://docs.google.com/spreadsheets/d/11923uPwbBZFjjGgGUA6NLw09EwE0CqkOc4q9oUmW1yo/edit?usp=sharing"",""ลำปาง!I311"")"),40)</f>
        <v>40</v>
      </c>
      <c r="J416" s="210">
        <f ca="1">IFERROR(__xludf.DUMMYFUNCTION("IMPORTRANGE(""https://docs.google.com/spreadsheets/d/11923uPwbBZFjjGgGUA6NLw09EwE0CqkOc4q9oUmW1yo/edit?usp=sharing"",""ลำปาง!J311"")"),0)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IFERROR(__xludf.DUMMYFUNCTION("IMPORTRANGE(""https://docs.google.com/spreadsheets/d/11923uPwbBZFjjGgGUA6NLw09EwE0CqkOc4q9oUmW1yo/edit?usp=sharing"",""ลำปาง!I312"")"),10)</f>
        <v>10</v>
      </c>
      <c r="J417" s="400">
        <f ca="1">IFERROR(__xludf.DUMMYFUNCTION("IMPORTRANGE(""https://docs.google.com/spreadsheets/d/11923uPwbBZFjjGgGUA6NLw09EwE0CqkOc4q9oUmW1yo/edit?usp=sharing"",""ลำปาง!J312"")"),0)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IFERROR(__xludf.DUMMYFUNCTION("IMPORTRANGE(""https://docs.google.com/spreadsheets/d/11923uPwbBZFjjGgGUA6NLw09EwE0CqkOc4q9oUmW1yo/edit?usp=sharing"",""ลำปาง!I313"")"),30)</f>
        <v>30</v>
      </c>
      <c r="J418" s="401">
        <f ca="1">IFERROR(__xludf.DUMMYFUNCTION("IMPORTRANGE(""https://docs.google.com/spreadsheets/d/11923uPwbBZFjjGgGUA6NLw09EwE0CqkOc4q9oUmW1yo/edit?usp=sharing"",""ลำปาง!J313"")"),0)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IFERROR(__xludf.DUMMYFUNCTION("IMPORTRANGE(""https://docs.google.com/spreadsheets/d/11923uPwbBZFjjGgGUA6NLw09EwE0CqkOc4q9oUmW1yo/edit?usp=sharing"",""ลำปาง!I314"")"),10)</f>
        <v>10</v>
      </c>
      <c r="J419" s="402">
        <f ca="1">IFERROR(__xludf.DUMMYFUNCTION("IMPORTRANGE(""https://docs.google.com/spreadsheets/d/11923uPwbBZFjjGgGUA6NLw09EwE0CqkOc4q9oUmW1yo/edit?usp=sharing"",""ลำปาง!J314"")"),0)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IFERROR(__xludf.DUMMYFUNCTION("IMPORTRANGE(""https://docs.google.com/spreadsheets/d/11923uPwbBZFjjGgGUA6NLw09EwE0CqkOc4q9oUmW1yo/edit?usp=sharing"",""ลำปาง!I315"")"),10)</f>
        <v>10</v>
      </c>
      <c r="J420" s="402">
        <f ca="1">IFERROR(__xludf.DUMMYFUNCTION("IMPORTRANGE(""https://docs.google.com/spreadsheets/d/11923uPwbBZFjjGgGUA6NLw09EwE0CqkOc4q9oUmW1yo/edit?usp=sharing"",""ลำปาง!J315"")"),0)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IFERROR(__xludf.DUMMYFUNCTION("IMPORTRANGE(""https://docs.google.com/spreadsheets/d/11923uPwbBZFjjGgGUA6NLw09EwE0CqkOc4q9oUmW1yo/edit?usp=sharing"",""ลำปาง!I316"")"),20)</f>
        <v>20</v>
      </c>
      <c r="J421" s="400">
        <f ca="1">IFERROR(__xludf.DUMMYFUNCTION("IMPORTRANGE(""https://docs.google.com/spreadsheets/d/11923uPwbBZFjjGgGUA6NLw09EwE0CqkOc4q9oUmW1yo/edit?usp=sharing"",""ลำปาง!J316"")"),0)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IFERROR(__xludf.DUMMYFUNCTION("IMPORTRANGE(""https://docs.google.com/spreadsheets/d/11923uPwbBZFjjGgGUA6NLw09EwE0CqkOc4q9oUmW1yo/edit?usp=sharing"",""ลำปาง!I317"")"),60)</f>
        <v>60</v>
      </c>
      <c r="J422" s="401">
        <f ca="1">IFERROR(__xludf.DUMMYFUNCTION("IMPORTRANGE(""https://docs.google.com/spreadsheets/d/11923uPwbBZFjjGgGUA6NLw09EwE0CqkOc4q9oUmW1yo/edit?usp=sharing"",""ลำปาง!J317"")"),0)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IFERROR(__xludf.DUMMYFUNCTION("IMPORTRANGE(""https://docs.google.com/spreadsheets/d/11923uPwbBZFjjGgGUA6NLw09EwE0CqkOc4q9oUmW1yo/edit?usp=sharing"",""ลำปาง!I318"")"),20)</f>
        <v>20</v>
      </c>
      <c r="J423" s="402">
        <f ca="1">IFERROR(__xludf.DUMMYFUNCTION("IMPORTRANGE(""https://docs.google.com/spreadsheets/d/11923uPwbBZFjjGgGUA6NLw09EwE0CqkOc4q9oUmW1yo/edit?usp=sharing"",""ลำปาง!J318"")"),0)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IFERROR(__xludf.DUMMYFUNCTION("IMPORTRANGE(""https://docs.google.com/spreadsheets/d/11923uPwbBZFjjGgGUA6NLw09EwE0CqkOc4q9oUmW1yo/edit?usp=sharing"",""ลำปาง!I319"")"),20)</f>
        <v>20</v>
      </c>
      <c r="J424" s="402">
        <f ca="1">IFERROR(__xludf.DUMMYFUNCTION("IMPORTRANGE(""https://docs.google.com/spreadsheets/d/11923uPwbBZFjjGgGUA6NLw09EwE0CqkOc4q9oUmW1yo/edit?usp=sharing"",""ลำปาง!J319"")"),0)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IFERROR(__xludf.DUMMYFUNCTION("IMPORTRANGE(""https://docs.google.com/spreadsheets/d/11923uPwbBZFjjGgGUA6NLw09EwE0CqkOc4q9oUmW1yo/edit?usp=sharing"",""ลำปาง!I320"")"),20)</f>
        <v>20</v>
      </c>
      <c r="J425" s="402">
        <f ca="1">IFERROR(__xludf.DUMMYFUNCTION("IMPORTRANGE(""https://docs.google.com/spreadsheets/d/11923uPwbBZFjjGgGUA6NLw09EwE0CqkOc4q9oUmW1yo/edit?usp=sharing"",""ลำปาง!J320"")"),0)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IFERROR(__xludf.DUMMYFUNCTION("IMPORTRANGE(""https://docs.google.com/spreadsheets/d/11923uPwbBZFjjGgGUA6NLw09EwE0CqkOc4q9oUmW1yo/edit?usp=sharing"",""ลำปาง!I321"")"),10)</f>
        <v>10</v>
      </c>
      <c r="J426" s="400">
        <f ca="1">IFERROR(__xludf.DUMMYFUNCTION("IMPORTRANGE(""https://docs.google.com/spreadsheets/d/11923uPwbBZFjjGgGUA6NLw09EwE0CqkOc4q9oUmW1yo/edit?usp=sharing"",""ลำปาง!J321"")"),0)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IFERROR(__xludf.DUMMYFUNCTION("IMPORTRANGE(""https://docs.google.com/spreadsheets/d/11923uPwbBZFjjGgGUA6NLw09EwE0CqkOc4q9oUmW1yo/edit?usp=sharing"",""ลำปาง!I322"")"),30)</f>
        <v>30</v>
      </c>
      <c r="J427" s="401">
        <f ca="1">IFERROR(__xludf.DUMMYFUNCTION("IMPORTRANGE(""https://docs.google.com/spreadsheets/d/11923uPwbBZFjjGgGUA6NLw09EwE0CqkOc4q9oUmW1yo/edit?usp=sharing"",""ลำปาง!J322"")"),0)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IFERROR(__xludf.DUMMYFUNCTION("IMPORTRANGE(""https://docs.google.com/spreadsheets/d/11923uPwbBZFjjGgGUA6NLw09EwE0CqkOc4q9oUmW1yo/edit?usp=sharing"",""ลำปาง!I323"")"),10)</f>
        <v>10</v>
      </c>
      <c r="J428" s="402">
        <f ca="1">IFERROR(__xludf.DUMMYFUNCTION("IMPORTRANGE(""https://docs.google.com/spreadsheets/d/11923uPwbBZFjjGgGUA6NLw09EwE0CqkOc4q9oUmW1yo/edit?usp=sharing"",""ลำปาง!J323"")"),0)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IFERROR(__xludf.DUMMYFUNCTION("IMPORTRANGE(""https://docs.google.com/spreadsheets/d/11923uPwbBZFjjGgGUA6NLw09EwE0CqkOc4q9oUmW1yo/edit?usp=sharing"",""ลำปาง!I324"")"),10)</f>
        <v>10</v>
      </c>
      <c r="J429" s="402">
        <f ca="1">IFERROR(__xludf.DUMMYFUNCTION("IMPORTRANGE(""https://docs.google.com/spreadsheets/d/11923uPwbBZFjjGgGUA6NLw09EwE0CqkOc4q9oUmW1yo/edit?usp=sharing"",""ลำปาง!J324"")"),0)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IFERROR(__xludf.DUMMYFUNCTION("IMPORTRANGE(""https://docs.google.com/spreadsheets/d/11923uPwbBZFjjGgGUA6NLw09EwE0CqkOc4q9oUmW1yo/edit?usp=sharing"",""ลำปาง!I325"")"),30)</f>
        <v>30</v>
      </c>
      <c r="J430" s="400">
        <f ca="1">IFERROR(__xludf.DUMMYFUNCTION("IMPORTRANGE(""https://docs.google.com/spreadsheets/d/11923uPwbBZFjjGgGUA6NLw09EwE0CqkOc4q9oUmW1yo/edit?usp=sharing"",""ลำปาง!J325"")"),0)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IFERROR(__xludf.DUMMYFUNCTION("IMPORTRANGE(""https://docs.google.com/spreadsheets/d/11923uPwbBZFjjGgGUA6NLw09EwE0CqkOc4q9oUmW1yo/edit?usp=sharing"",""ลำปาง!I326"")"),10)</f>
        <v>10</v>
      </c>
      <c r="J431" s="402">
        <f ca="1">IFERROR(__xludf.DUMMYFUNCTION("IMPORTRANGE(""https://docs.google.com/spreadsheets/d/11923uPwbBZFjjGgGUA6NLw09EwE0CqkOc4q9oUmW1yo/edit?usp=sharing"",""ลำปาง!J326"")"),0)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IFERROR(__xludf.DUMMYFUNCTION("IMPORTRANGE(""https://docs.google.com/spreadsheets/d/11923uPwbBZFjjGgGUA6NLw09EwE0CqkOc4q9oUmW1yo/edit?usp=sharing"",""ลำปาง!I327"")"),20)</f>
        <v>20</v>
      </c>
      <c r="J432" s="402">
        <f ca="1">IFERROR(__xludf.DUMMYFUNCTION("IMPORTRANGE(""https://docs.google.com/spreadsheets/d/11923uPwbBZFjjGgGUA6NLw09EwE0CqkOc4q9oUmW1yo/edit?usp=sharing"",""ลำปาง!J327"")"),0)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IFERROR(__xludf.DUMMYFUNCTION("IMPORTRANGE(""https://docs.google.com/spreadsheets/d/11923uPwbBZFjjGgGUA6NLw09EwE0CqkOc4q9oUmW1yo/edit?usp=sharing"",""ลำปาง!J328"")"),0)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IFERROR(__xludf.DUMMYFUNCTION("IMPORTRANGE(""https://docs.google.com/spreadsheets/d/11923uPwbBZFjjGgGUA6NLw09EwE0CqkOc4q9oUmW1yo/edit?usp=sharing"",""ลำปาง!J329"")"),0)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IFERROR(__xludf.DUMMYFUNCTION("IMPORTRANGE(""https://docs.google.com/spreadsheets/d/11923uPwbBZFjjGgGUA6NLw09EwE0CqkOc4q9oUmW1yo/edit?usp=sharing"",""ลำปาง!I330"")"),15)</f>
        <v>15</v>
      </c>
      <c r="J435" s="418">
        <f ca="1">IFERROR(__xludf.DUMMYFUNCTION("IMPORTRANGE(""https://docs.google.com/spreadsheets/d/11923uPwbBZFjjGgGUA6NLw09EwE0CqkOc4q9oUmW1yo/edit?usp=sharing"",""ลำปาง!J330"")"),15)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IFERROR(__xludf.DUMMYFUNCTION("IMPORTRANGE(""https://docs.google.com/spreadsheets/d/11923uPwbBZFjjGgGUA6NLw09EwE0CqkOc4q9oUmW1yo/edit?usp=sharing"",""ลำปาง!L330"")"),83000)</f>
        <v>83000</v>
      </c>
      <c r="M435" s="420"/>
      <c r="N435" s="420">
        <f ca="1">IFERROR(__xludf.DUMMYFUNCTION("IMPORTRANGE(""https://docs.google.com/spreadsheets/d/11923uPwbBZFjjGgGUA6NLw09EwE0CqkOc4q9oUmW1yo/edit?usp=sharing"",""ลำปาง!M330"")"),45560.39)</f>
        <v>45560.39</v>
      </c>
      <c r="O435" s="420">
        <f t="shared" ref="O435:O439" ca="1" si="114">+IF(L435&gt;0,N435*100/L435,0)</f>
        <v>54.892036144578313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IFERROR(__xludf.DUMMYFUNCTION("IMPORTRANGE(""https://docs.google.com/spreadsheets/d/11923uPwbBZFjjGgGUA6NLw09EwE0CqkOc4q9oUmW1yo/edit?usp=sharing"",""ลำปาง!L331"")"),0)</f>
        <v>0</v>
      </c>
      <c r="M436" s="172"/>
      <c r="N436" s="178">
        <f ca="1">IFERROR(__xludf.DUMMYFUNCTION("IMPORTRANGE(""https://docs.google.com/spreadsheets/d/11923uPwbBZFjjGgGUA6NLw09EwE0CqkOc4q9oUmW1yo/edit?usp=sharing"",""ลำปาง!M331"")"),0)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IFERROR(__xludf.DUMMYFUNCTION("IMPORTRANGE(""https://docs.google.com/spreadsheets/d/11923uPwbBZFjjGgGUA6NLw09EwE0CqkOc4q9oUmW1yo/edit?usp=sharing"",""ลำปาง!L332"")"),83000)</f>
        <v>83000</v>
      </c>
      <c r="M437" s="173"/>
      <c r="N437" s="178">
        <f ca="1">IFERROR(__xludf.DUMMYFUNCTION("IMPORTRANGE(""https://docs.google.com/spreadsheets/d/11923uPwbBZFjjGgGUA6NLw09EwE0CqkOc4q9oUmW1yo/edit?usp=sharing"",""ลำปาง!M332"")"),45560.39)</f>
        <v>45560.39</v>
      </c>
      <c r="O437" s="178">
        <f t="shared" ca="1" si="114"/>
        <v>54.892036144578313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IFERROR(__xludf.DUMMYFUNCTION("IMPORTRANGE(""https://docs.google.com/spreadsheets/d/11923uPwbBZFjjGgGUA6NLw09EwE0CqkOc4q9oUmW1yo/edit?usp=sharing"",""ลำปาง!L333"")"),0)</f>
        <v>0</v>
      </c>
      <c r="M438" s="178"/>
      <c r="N438" s="178">
        <f ca="1">IFERROR(__xludf.DUMMYFUNCTION("IMPORTRANGE(""https://docs.google.com/spreadsheets/d/11923uPwbBZFjjGgGUA6NLw09EwE0CqkOc4q9oUmW1yo/edit?usp=sharing"",""ลำปาง!M333"")"),0)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IFERROR(__xludf.DUMMYFUNCTION("IMPORTRANGE(""https://docs.google.com/spreadsheets/d/11923uPwbBZFjjGgGUA6NLw09EwE0CqkOc4q9oUmW1yo/edit?usp=sharing"",""ลำปาง!L334"")"),83000)</f>
        <v>83000</v>
      </c>
      <c r="M439" s="178"/>
      <c r="N439" s="178">
        <f ca="1">IFERROR(__xludf.DUMMYFUNCTION("IMPORTRANGE(""https://docs.google.com/spreadsheets/d/11923uPwbBZFjjGgGUA6NLw09EwE0CqkOc4q9oUmW1yo/edit?usp=sharing"",""ลำปาง!M334"")"),45560.39)</f>
        <v>45560.39</v>
      </c>
      <c r="O439" s="178">
        <f t="shared" ca="1" si="114"/>
        <v>54.892036144578313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IFERROR(__xludf.DUMMYFUNCTION("IMPORTRANGE(""https://docs.google.com/spreadsheets/d/11923uPwbBZFjjGgGUA6NLw09EwE0CqkOc4q9oUmW1yo/edit?usp=sharing"",""ลำปาง!M335"")"),32200)</f>
        <v>32200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IFERROR(__xludf.DUMMYFUNCTION("IMPORTRANGE(""https://docs.google.com/spreadsheets/d/11923uPwbBZFjjGgGUA6NLw09EwE0CqkOc4q9oUmW1yo/edit?usp=sharing"",""ลำปาง!M336"")"),0)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IFERROR(__xludf.DUMMYFUNCTION("IMPORTRANGE(""https://docs.google.com/spreadsheets/d/11923uPwbBZFjjGgGUA6NLw09EwE0CqkOc4q9oUmW1yo/edit?usp=sharing"",""ลำปาง!M337"")"),0)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IFERROR(__xludf.DUMMYFUNCTION("IMPORTRANGE(""https://docs.google.com/spreadsheets/d/11923uPwbBZFjjGgGUA6NLw09EwE0CqkOc4q9oUmW1yo/edit?usp=sharing"",""ลำปาง!M338"")"),13360.39)</f>
        <v>13360.39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IFERROR(__xludf.DUMMYFUNCTION("IMPORTRANGE(""https://docs.google.com/spreadsheets/d/11923uPwbBZFjjGgGUA6NLw09EwE0CqkOc4q9oUmW1yo/edit?usp=sharing"",""ลำปาง!J340"")"),0)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IFERROR(__xludf.DUMMYFUNCTION("IMPORTRANGE(""https://docs.google.com/spreadsheets/d/11923uPwbBZFjjGgGUA6NLw09EwE0CqkOc4q9oUmW1yo/edit?usp=sharing"",""ลำปาง!J341"")"),1)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IFERROR(__xludf.DUMMYFUNCTION("IMPORTRANGE(""https://docs.google.com/spreadsheets/d/11923uPwbBZFjjGgGUA6NLw09EwE0CqkOc4q9oUmW1yo/edit?usp=sharing"",""ลำปาง!J342"")"),1)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IFERROR(__xludf.DUMMYFUNCTION("IMPORTRANGE(""https://docs.google.com/spreadsheets/d/11923uPwbBZFjjGgGUA6NLw09EwE0CqkOc4q9oUmW1yo/edit?usp=sharing"",""ลำปาง!J343"")"),0)</f>
        <v>0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IFERROR(__xludf.DUMMYFUNCTION("IMPORTRANGE(""https://docs.google.com/spreadsheets/d/11923uPwbBZFjjGgGUA6NLw09EwE0CqkOc4q9oUmW1yo/edit?usp=sharing"",""ลำปาง!I344"")"),15)</f>
        <v>15</v>
      </c>
      <c r="J449" s="210">
        <f ca="1">IFERROR(__xludf.DUMMYFUNCTION("IMPORTRANGE(""https://docs.google.com/spreadsheets/d/11923uPwbBZFjjGgGUA6NLw09EwE0CqkOc4q9oUmW1yo/edit?usp=sharing"",""ลำปาง!J344"")"),15)</f>
        <v>15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IFERROR(__xludf.DUMMYFUNCTION("IMPORTRANGE(""https://docs.google.com/spreadsheets/d/11923uPwbBZFjjGgGUA6NLw09EwE0CqkOc4q9oUmW1yo/edit?usp=sharing"",""ลำปาง!I345"")"),15)</f>
        <v>15</v>
      </c>
      <c r="J450" s="198">
        <f ca="1">IFERROR(__xludf.DUMMYFUNCTION("IMPORTRANGE(""https://docs.google.com/spreadsheets/d/11923uPwbBZFjjGgGUA6NLw09EwE0CqkOc4q9oUmW1yo/edit?usp=sharing"",""ลำปาง!J345"")"),15)</f>
        <v>15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IFERROR(__xludf.DUMMYFUNCTION("IMPORTRANGE(""https://docs.google.com/spreadsheets/d/11923uPwbBZFjjGgGUA6NLw09EwE0CqkOc4q9oUmW1yo/edit?usp=sharing"",""ลำปาง!I346"")"),0)</f>
        <v>0</v>
      </c>
      <c r="J451" s="197">
        <f ca="1">IFERROR(__xludf.DUMMYFUNCTION("IMPORTRANGE(""https://docs.google.com/spreadsheets/d/11923uPwbBZFjjGgGUA6NLw09EwE0CqkOc4q9oUmW1yo/edit?usp=sharing"",""ลำปาง!J346"")"),0)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IFERROR(__xludf.DUMMYFUNCTION("IMPORTRANGE(""https://docs.google.com/spreadsheets/d/11923uPwbBZFjjGgGUA6NLw09EwE0CqkOc4q9oUmW1yo/edit?usp=sharing"",""ลำปาง!I347"")"),0)</f>
        <v>0</v>
      </c>
      <c r="J452" s="197">
        <f ca="1">IFERROR(__xludf.DUMMYFUNCTION("IMPORTRANGE(""https://docs.google.com/spreadsheets/d/11923uPwbBZFjjGgGUA6NLw09EwE0CqkOc4q9oUmW1yo/edit?usp=sharing"",""ลำปาง!J347"")"),0)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IFERROR(__xludf.DUMMYFUNCTION("IMPORTRANGE(""https://docs.google.com/spreadsheets/d/11923uPwbBZFjjGgGUA6NLw09EwE0CqkOc4q9oUmW1yo/edit?usp=sharing"",""ลำปาง!J348"")"),0)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IFERROR(__xludf.DUMMYFUNCTION("IMPORTRANGE(""https://docs.google.com/spreadsheets/d/11923uPwbBZFjjGgGUA6NLw09EwE0CqkOc4q9oUmW1yo/edit?usp=sharing"",""ลำปาง!J349"")"),0)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IFERROR(__xludf.DUMMYFUNCTION("IMPORTRANGE(""https://docs.google.com/spreadsheets/d/11923uPwbBZFjjGgGUA6NLw09EwE0CqkOc4q9oUmW1yo/edit?usp=sharing"",""ลำปาง!I350"")"),39762)</f>
        <v>39762</v>
      </c>
      <c r="J455" s="379">
        <f ca="1">IFERROR(__xludf.DUMMYFUNCTION("IMPORTRANGE(""https://docs.google.com/spreadsheets/d/11923uPwbBZFjjGgGUA6NLw09EwE0CqkOc4q9oUmW1yo/edit?usp=sharing"",""ลำปาง!J350"")"),0)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IFERROR(__xludf.DUMMYFUNCTION("IMPORTRANGE(""https://docs.google.com/spreadsheets/d/11923uPwbBZFjjGgGUA6NLw09EwE0CqkOc4q9oUmW1yo/edit?usp=sharing"",""ลำปาง!L350"")"),615200)</f>
        <v>615200</v>
      </c>
      <c r="M455" s="381"/>
      <c r="N455" s="381">
        <f ca="1">IFERROR(__xludf.DUMMYFUNCTION("IMPORTRANGE(""https://docs.google.com/spreadsheets/d/11923uPwbBZFjjGgGUA6NLw09EwE0CqkOc4q9oUmW1yo/edit?usp=sharing"",""ลำปาง!M350"")"),69546.7)</f>
        <v>69546.7</v>
      </c>
      <c r="O455" s="381">
        <f t="shared" ref="O455:O459" ca="1" si="116">+IF(L455&gt;0,N455*100/L455,0)</f>
        <v>11.304730169050716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IFERROR(__xludf.DUMMYFUNCTION("IMPORTRANGE(""https://docs.google.com/spreadsheets/d/11923uPwbBZFjjGgGUA6NLw09EwE0CqkOc4q9oUmW1yo/edit?usp=sharing"",""ลำปาง!L351"")"),0)</f>
        <v>0</v>
      </c>
      <c r="M456" s="172"/>
      <c r="N456" s="178">
        <f ca="1">IFERROR(__xludf.DUMMYFUNCTION("IMPORTRANGE(""https://docs.google.com/spreadsheets/d/11923uPwbBZFjjGgGUA6NLw09EwE0CqkOc4q9oUmW1yo/edit?usp=sharing"",""ลำปาง!M351"")"),0)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IFERROR(__xludf.DUMMYFUNCTION("IMPORTRANGE(""https://docs.google.com/spreadsheets/d/11923uPwbBZFjjGgGUA6NLw09EwE0CqkOc4q9oUmW1yo/edit?usp=sharing"",""ลำปาง!L352"")"),615200)</f>
        <v>615200</v>
      </c>
      <c r="M457" s="173"/>
      <c r="N457" s="178">
        <f ca="1">IFERROR(__xludf.DUMMYFUNCTION("IMPORTRANGE(""https://docs.google.com/spreadsheets/d/11923uPwbBZFjjGgGUA6NLw09EwE0CqkOc4q9oUmW1yo/edit?usp=sharing"",""ลำปาง!M352"")"),69546.7)</f>
        <v>69546.7</v>
      </c>
      <c r="O457" s="178">
        <f t="shared" ca="1" si="116"/>
        <v>11.304730169050716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IFERROR(__xludf.DUMMYFUNCTION("IMPORTRANGE(""https://docs.google.com/spreadsheets/d/11923uPwbBZFjjGgGUA6NLw09EwE0CqkOc4q9oUmW1yo/edit?usp=sharing"",""ลำปาง!L353"")"),0)</f>
        <v>0</v>
      </c>
      <c r="M458" s="178"/>
      <c r="N458" s="178">
        <f ca="1">IFERROR(__xludf.DUMMYFUNCTION("IMPORTRANGE(""https://docs.google.com/spreadsheets/d/11923uPwbBZFjjGgGUA6NLw09EwE0CqkOc4q9oUmW1yo/edit?usp=sharing"",""ลำปาง!M353"")"),0)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IFERROR(__xludf.DUMMYFUNCTION("IMPORTRANGE(""https://docs.google.com/spreadsheets/d/11923uPwbBZFjjGgGUA6NLw09EwE0CqkOc4q9oUmW1yo/edit?usp=sharing"",""ลำปาง!L354"")"),615200)</f>
        <v>615200</v>
      </c>
      <c r="M459" s="178"/>
      <c r="N459" s="178">
        <f ca="1">IFERROR(__xludf.DUMMYFUNCTION("IMPORTRANGE(""https://docs.google.com/spreadsheets/d/11923uPwbBZFjjGgGUA6NLw09EwE0CqkOc4q9oUmW1yo/edit?usp=sharing"",""ลำปาง!M354"")"),69546.7)</f>
        <v>69546.7</v>
      </c>
      <c r="O459" s="178">
        <f t="shared" ca="1" si="116"/>
        <v>11.304730169050716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IFERROR(__xludf.DUMMYFUNCTION("IMPORTRANGE(""https://docs.google.com/spreadsheets/d/11923uPwbBZFjjGgGUA6NLw09EwE0CqkOc4q9oUmW1yo/edit?usp=sharing"",""ลำปาง!M355"")"),0)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IFERROR(__xludf.DUMMYFUNCTION("IMPORTRANGE(""https://docs.google.com/spreadsheets/d/11923uPwbBZFjjGgGUA6NLw09EwE0CqkOc4q9oUmW1yo/edit?usp=sharing"",""ลำปาง!M356"")"),0)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IFERROR(__xludf.DUMMYFUNCTION("IMPORTRANGE(""https://docs.google.com/spreadsheets/d/11923uPwbBZFjjGgGUA6NLw09EwE0CqkOc4q9oUmW1yo/edit?usp=sharing"",""ลำปาง!M357"")"),31166.7)</f>
        <v>31166.7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IFERROR(__xludf.DUMMYFUNCTION("IMPORTRANGE(""https://docs.google.com/spreadsheets/d/11923uPwbBZFjjGgGUA6NLw09EwE0CqkOc4q9oUmW1yo/edit?usp=sharing"",""ลำปาง!M358"")"),38380)</f>
        <v>38380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IFERROR(__xludf.DUMMYFUNCTION("IMPORTRANGE(""https://docs.google.com/spreadsheets/d/11923uPwbBZFjjGgGUA6NLw09EwE0CqkOc4q9oUmW1yo/edit?usp=sharing"",""ลำปาง!I359"")"),39762)</f>
        <v>39762</v>
      </c>
      <c r="J464" s="276">
        <f ca="1">IFERROR(__xludf.DUMMYFUNCTION("IMPORTRANGE(""https://docs.google.com/spreadsheets/d/11923uPwbBZFjjGgGUA6NLw09EwE0CqkOc4q9oUmW1yo/edit?usp=sharing"",""ลำปาง!J359"")"),0)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IFERROR(__xludf.DUMMYFUNCTION("IMPORTRANGE(""https://docs.google.com/spreadsheets/d/11923uPwbBZFjjGgGUA6NLw09EwE0CqkOc4q9oUmW1yo/edit?usp=sharing"",""ลำปาง!I360"")"),39762)</f>
        <v>39762</v>
      </c>
      <c r="J465" s="428">
        <f ca="1">IFERROR(__xludf.DUMMYFUNCTION("IMPORTRANGE(""https://docs.google.com/spreadsheets/d/11923uPwbBZFjjGgGUA6NLw09EwE0CqkOc4q9oUmW1yo/edit?usp=sharing"",""ลำปาง!J360"")"),17220)</f>
        <v>17220</v>
      </c>
      <c r="K465" s="211">
        <f t="shared" ca="1" si="117"/>
        <v>43.307680700165989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IFERROR(__xludf.DUMMYFUNCTION("IMPORTRANGE(""https://docs.google.com/spreadsheets/d/11923uPwbBZFjjGgGUA6NLw09EwE0CqkOc4q9oUmW1yo/edit?usp=sharing"",""ลำปาง!I361"")"),10122)</f>
        <v>10122</v>
      </c>
      <c r="J466" s="428">
        <f ca="1">IFERROR(__xludf.DUMMYFUNCTION("IMPORTRANGE(""https://docs.google.com/spreadsheets/d/11923uPwbBZFjjGgGUA6NLw09EwE0CqkOc4q9oUmW1yo/edit?usp=sharing"",""ลำปาง!J361"")"),3016)</f>
        <v>3016</v>
      </c>
      <c r="K466" s="211">
        <f t="shared" ca="1" si="117"/>
        <v>29.796482908516104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IFERROR(__xludf.DUMMYFUNCTION("IMPORTRANGE(""https://docs.google.com/spreadsheets/d/11923uPwbBZFjjGgGUA6NLw09EwE0CqkOc4q9oUmW1yo/edit?usp=sharing"",""ลำปาง!I362"")"),0)</f>
        <v>0</v>
      </c>
      <c r="J467" s="198">
        <f ca="1">IFERROR(__xludf.DUMMYFUNCTION("IMPORTRANGE(""https://docs.google.com/spreadsheets/d/11923uPwbBZFjjGgGUA6NLw09EwE0CqkOc4q9oUmW1yo/edit?usp=sharing"",""ลำปาง!J362"")"),14069)</f>
        <v>14069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IFERROR(__xludf.DUMMYFUNCTION("IMPORTRANGE(""https://docs.google.com/spreadsheets/d/11923uPwbBZFjjGgGUA6NLw09EwE0CqkOc4q9oUmW1yo/edit?usp=sharing"",""ลำปาง!I363"")"),0)</f>
        <v>0</v>
      </c>
      <c r="J468" s="198">
        <f ca="1">IFERROR(__xludf.DUMMYFUNCTION("IMPORTRANGE(""https://docs.google.com/spreadsheets/d/11923uPwbBZFjjGgGUA6NLw09EwE0CqkOc4q9oUmW1yo/edit?usp=sharing"",""ลำปาง!J363"")"),2578)</f>
        <v>2578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IFERROR(__xludf.DUMMYFUNCTION("IMPORTRANGE(""https://docs.google.com/spreadsheets/d/11923uPwbBZFjjGgGUA6NLw09EwE0CqkOc4q9oUmW1yo/edit?usp=sharing"",""ลำปาง!I364"")"),0)</f>
        <v>0</v>
      </c>
      <c r="J469" s="198">
        <f ca="1">IFERROR(__xludf.DUMMYFUNCTION("IMPORTRANGE(""https://docs.google.com/spreadsheets/d/11923uPwbBZFjjGgGUA6NLw09EwE0CqkOc4q9oUmW1yo/edit?usp=sharing"",""ลำปาง!J364"")"),2438)</f>
        <v>2438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IFERROR(__xludf.DUMMYFUNCTION("IMPORTRANGE(""https://docs.google.com/spreadsheets/d/11923uPwbBZFjjGgGUA6NLw09EwE0CqkOc4q9oUmW1yo/edit?usp=sharing"",""ลำปาง!I365"")"),0)</f>
        <v>0</v>
      </c>
      <c r="J470" s="198">
        <f ca="1">IFERROR(__xludf.DUMMYFUNCTION("IMPORTRANGE(""https://docs.google.com/spreadsheets/d/11923uPwbBZFjjGgGUA6NLw09EwE0CqkOc4q9oUmW1yo/edit?usp=sharing"",""ลำปาง!J365"")"),314)</f>
        <v>314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IFERROR(__xludf.DUMMYFUNCTION("IMPORTRANGE(""https://docs.google.com/spreadsheets/d/11923uPwbBZFjjGgGUA6NLw09EwE0CqkOc4q9oUmW1yo/edit?usp=sharing"",""ลำปาง!I366"")"),0)</f>
        <v>0</v>
      </c>
      <c r="J471" s="198">
        <f ca="1">IFERROR(__xludf.DUMMYFUNCTION("IMPORTRANGE(""https://docs.google.com/spreadsheets/d/11923uPwbBZFjjGgGUA6NLw09EwE0CqkOc4q9oUmW1yo/edit?usp=sharing"",""ลำปาง!J366"")"),713)</f>
        <v>713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IFERROR(__xludf.DUMMYFUNCTION("IMPORTRANGE(""https://docs.google.com/spreadsheets/d/11923uPwbBZFjjGgGUA6NLw09EwE0CqkOc4q9oUmW1yo/edit?usp=sharing"",""ลำปาง!I367"")"),0)</f>
        <v>0</v>
      </c>
      <c r="J472" s="198">
        <f ca="1">IFERROR(__xludf.DUMMYFUNCTION("IMPORTRANGE(""https://docs.google.com/spreadsheets/d/11923uPwbBZFjjGgGUA6NLw09EwE0CqkOc4q9oUmW1yo/edit?usp=sharing"",""ลำปาง!J367"")"),124)</f>
        <v>124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IFERROR(__xludf.DUMMYFUNCTION("IMPORTRANGE(""https://docs.google.com/spreadsheets/d/11923uPwbBZFjjGgGUA6NLw09EwE0CqkOc4q9oUmW1yo/edit?usp=sharing"",""ลำปาง!I368"")"),39762)</f>
        <v>39762</v>
      </c>
      <c r="J473" s="428">
        <f ca="1">IFERROR(__xludf.DUMMYFUNCTION("IMPORTRANGE(""https://docs.google.com/spreadsheets/d/11923uPwbBZFjjGgGUA6NLw09EwE0CqkOc4q9oUmW1yo/edit?usp=sharing"",""ลำปาง!J368"")"),0)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IFERROR(__xludf.DUMMYFUNCTION("IMPORTRANGE(""https://docs.google.com/spreadsheets/d/11923uPwbBZFjjGgGUA6NLw09EwE0CqkOc4q9oUmW1yo/edit?usp=sharing"",""ลำปาง!I369"")"),10122)</f>
        <v>10122</v>
      </c>
      <c r="J474" s="428">
        <f ca="1">IFERROR(__xludf.DUMMYFUNCTION("IMPORTRANGE(""https://docs.google.com/spreadsheets/d/11923uPwbBZFjjGgGUA6NLw09EwE0CqkOc4q9oUmW1yo/edit?usp=sharing"",""ลำปาง!J369"")"),0)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IFERROR(__xludf.DUMMYFUNCTION("IMPORTRANGE(""https://docs.google.com/spreadsheets/d/11923uPwbBZFjjGgGUA6NLw09EwE0CqkOc4q9oUmW1yo/edit?usp=sharing"",""ลำปาง!I370"")"),0)</f>
        <v>0</v>
      </c>
      <c r="J475" s="198">
        <f ca="1">IFERROR(__xludf.DUMMYFUNCTION("IMPORTRANGE(""https://docs.google.com/spreadsheets/d/11923uPwbBZFjjGgGUA6NLw09EwE0CqkOc4q9oUmW1yo/edit?usp=sharing"",""ลำปาง!J370"")"),0)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IFERROR(__xludf.DUMMYFUNCTION("IMPORTRANGE(""https://docs.google.com/spreadsheets/d/11923uPwbBZFjjGgGUA6NLw09EwE0CqkOc4q9oUmW1yo/edit?usp=sharing"",""ลำปาง!I371"")"),0)</f>
        <v>0</v>
      </c>
      <c r="J476" s="198">
        <f ca="1">IFERROR(__xludf.DUMMYFUNCTION("IMPORTRANGE(""https://docs.google.com/spreadsheets/d/11923uPwbBZFjjGgGUA6NLw09EwE0CqkOc4q9oUmW1yo/edit?usp=sharing"",""ลำปาง!J371"")"),0)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IFERROR(__xludf.DUMMYFUNCTION("IMPORTRANGE(""https://docs.google.com/spreadsheets/d/11923uPwbBZFjjGgGUA6NLw09EwE0CqkOc4q9oUmW1yo/edit?usp=sharing"",""ลำปาง!I372"")"),0)</f>
        <v>0</v>
      </c>
      <c r="J477" s="198">
        <f ca="1">IFERROR(__xludf.DUMMYFUNCTION("IMPORTRANGE(""https://docs.google.com/spreadsheets/d/11923uPwbBZFjjGgGUA6NLw09EwE0CqkOc4q9oUmW1yo/edit?usp=sharing"",""ลำปาง!J372"")"),0)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IFERROR(__xludf.DUMMYFUNCTION("IMPORTRANGE(""https://docs.google.com/spreadsheets/d/11923uPwbBZFjjGgGUA6NLw09EwE0CqkOc4q9oUmW1yo/edit?usp=sharing"",""ลำปาง!I373"")"),0)</f>
        <v>0</v>
      </c>
      <c r="J478" s="198">
        <f ca="1">IFERROR(__xludf.DUMMYFUNCTION("IMPORTRANGE(""https://docs.google.com/spreadsheets/d/11923uPwbBZFjjGgGUA6NLw09EwE0CqkOc4q9oUmW1yo/edit?usp=sharing"",""ลำปาง!J373"")"),0)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IFERROR(__xludf.DUMMYFUNCTION("IMPORTRANGE(""https://docs.google.com/spreadsheets/d/11923uPwbBZFjjGgGUA6NLw09EwE0CqkOc4q9oUmW1yo/edit?usp=sharing"",""ลำปาง!I374"")"),0)</f>
        <v>0</v>
      </c>
      <c r="J479" s="198">
        <f ca="1">IFERROR(__xludf.DUMMYFUNCTION("IMPORTRANGE(""https://docs.google.com/spreadsheets/d/11923uPwbBZFjjGgGUA6NLw09EwE0CqkOc4q9oUmW1yo/edit?usp=sharing"",""ลำปาง!J374"")"),0)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IFERROR(__xludf.DUMMYFUNCTION("IMPORTRANGE(""https://docs.google.com/spreadsheets/d/11923uPwbBZFjjGgGUA6NLw09EwE0CqkOc4q9oUmW1yo/edit?usp=sharing"",""ลำปาง!I375"")"),0)</f>
        <v>0</v>
      </c>
      <c r="J480" s="198">
        <f ca="1">IFERROR(__xludf.DUMMYFUNCTION("IMPORTRANGE(""https://docs.google.com/spreadsheets/d/11923uPwbBZFjjGgGUA6NLw09EwE0CqkOc4q9oUmW1yo/edit?usp=sharing"",""ลำปาง!J375"")"),0)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IFERROR(__xludf.DUMMYFUNCTION("IMPORTRANGE(""https://docs.google.com/spreadsheets/d/11923uPwbBZFjjGgGUA6NLw09EwE0CqkOc4q9oUmW1yo/edit?usp=sharing"",""ลำปาง!I376"")"),39762)</f>
        <v>39762</v>
      </c>
      <c r="J481" s="428">
        <f ca="1">IFERROR(__xludf.DUMMYFUNCTION("IMPORTRANGE(""https://docs.google.com/spreadsheets/d/11923uPwbBZFjjGgGUA6NLw09EwE0CqkOc4q9oUmW1yo/edit?usp=sharing"",""ลำปาง!J376"")"),0)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IFERROR(__xludf.DUMMYFUNCTION("IMPORTRANGE(""https://docs.google.com/spreadsheets/d/11923uPwbBZFjjGgGUA6NLw09EwE0CqkOc4q9oUmW1yo/edit?usp=sharing"",""ลำปาง!I377"")"),10122)</f>
        <v>10122</v>
      </c>
      <c r="J482" s="428">
        <f ca="1">IFERROR(__xludf.DUMMYFUNCTION("IMPORTRANGE(""https://docs.google.com/spreadsheets/d/11923uPwbBZFjjGgGUA6NLw09EwE0CqkOc4q9oUmW1yo/edit?usp=sharing"",""ลำปาง!J377"")"),0)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IFERROR(__xludf.DUMMYFUNCTION("IMPORTRANGE(""https://docs.google.com/spreadsheets/d/11923uPwbBZFjjGgGUA6NLw09EwE0CqkOc4q9oUmW1yo/edit?usp=sharing"",""ลำปาง!I378"")"),0)</f>
        <v>0</v>
      </c>
      <c r="J483" s="198">
        <f ca="1">IFERROR(__xludf.DUMMYFUNCTION("IMPORTRANGE(""https://docs.google.com/spreadsheets/d/11923uPwbBZFjjGgGUA6NLw09EwE0CqkOc4q9oUmW1yo/edit?usp=sharing"",""ลำปาง!J378"")"),0)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IFERROR(__xludf.DUMMYFUNCTION("IMPORTRANGE(""https://docs.google.com/spreadsheets/d/11923uPwbBZFjjGgGUA6NLw09EwE0CqkOc4q9oUmW1yo/edit?usp=sharing"",""ลำปาง!I379"")"),0)</f>
        <v>0</v>
      </c>
      <c r="J484" s="198">
        <f ca="1">IFERROR(__xludf.DUMMYFUNCTION("IMPORTRANGE(""https://docs.google.com/spreadsheets/d/11923uPwbBZFjjGgGUA6NLw09EwE0CqkOc4q9oUmW1yo/edit?usp=sharing"",""ลำปาง!J379"")"),0)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IFERROR(__xludf.DUMMYFUNCTION("IMPORTRANGE(""https://docs.google.com/spreadsheets/d/11923uPwbBZFjjGgGUA6NLw09EwE0CqkOc4q9oUmW1yo/edit?usp=sharing"",""ลำปาง!I380"")"),0)</f>
        <v>0</v>
      </c>
      <c r="J485" s="198">
        <f ca="1">IFERROR(__xludf.DUMMYFUNCTION("IMPORTRANGE(""https://docs.google.com/spreadsheets/d/11923uPwbBZFjjGgGUA6NLw09EwE0CqkOc4q9oUmW1yo/edit?usp=sharing"",""ลำปาง!J380"")"),0)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IFERROR(__xludf.DUMMYFUNCTION("IMPORTRANGE(""https://docs.google.com/spreadsheets/d/11923uPwbBZFjjGgGUA6NLw09EwE0CqkOc4q9oUmW1yo/edit?usp=sharing"",""ลำปาง!I381"")"),0)</f>
        <v>0</v>
      </c>
      <c r="J486" s="198">
        <f ca="1">IFERROR(__xludf.DUMMYFUNCTION("IMPORTRANGE(""https://docs.google.com/spreadsheets/d/11923uPwbBZFjjGgGUA6NLw09EwE0CqkOc4q9oUmW1yo/edit?usp=sharing"",""ลำปาง!J381"")"),0)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IFERROR(__xludf.DUMMYFUNCTION("IMPORTRANGE(""https://docs.google.com/spreadsheets/d/11923uPwbBZFjjGgGUA6NLw09EwE0CqkOc4q9oUmW1yo/edit?usp=sharing"",""ลำปาง!I382"")"),0)</f>
        <v>0</v>
      </c>
      <c r="J487" s="428">
        <f ca="1">IFERROR(__xludf.DUMMYFUNCTION("IMPORTRANGE(""https://docs.google.com/spreadsheets/d/11923uPwbBZFjjGgGUA6NLw09EwE0CqkOc4q9oUmW1yo/edit?usp=sharing"",""ลำปาง!J382"")"),0)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IFERROR(__xludf.DUMMYFUNCTION("IMPORTRANGE(""https://docs.google.com/spreadsheets/d/11923uPwbBZFjjGgGUA6NLw09EwE0CqkOc4q9oUmW1yo/edit?usp=sharing"",""ลำปาง!I383"")"),0)</f>
        <v>0</v>
      </c>
      <c r="J488" s="428">
        <f ca="1">IFERROR(__xludf.DUMMYFUNCTION("IMPORTRANGE(""https://docs.google.com/spreadsheets/d/11923uPwbBZFjjGgGUA6NLw09EwE0CqkOc4q9oUmW1yo/edit?usp=sharing"",""ลำปาง!J383"")"),0)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IFERROR(__xludf.DUMMYFUNCTION("IMPORTRANGE(""https://docs.google.com/spreadsheets/d/11923uPwbBZFjjGgGUA6NLw09EwE0CqkOc4q9oUmW1yo/edit?usp=sharing"",""ลำปาง!I384"")"),0)</f>
        <v>0</v>
      </c>
      <c r="J489" s="198">
        <f ca="1">IFERROR(__xludf.DUMMYFUNCTION("IMPORTRANGE(""https://docs.google.com/spreadsheets/d/11923uPwbBZFjjGgGUA6NLw09EwE0CqkOc4q9oUmW1yo/edit?usp=sharing"",""ลำปาง!J384"")"),0)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IFERROR(__xludf.DUMMYFUNCTION("IMPORTRANGE(""https://docs.google.com/spreadsheets/d/11923uPwbBZFjjGgGUA6NLw09EwE0CqkOc4q9oUmW1yo/edit?usp=sharing"",""ลำปาง!I385"")"),0)</f>
        <v>0</v>
      </c>
      <c r="J490" s="198">
        <f ca="1">IFERROR(__xludf.DUMMYFUNCTION("IMPORTRANGE(""https://docs.google.com/spreadsheets/d/11923uPwbBZFjjGgGUA6NLw09EwE0CqkOc4q9oUmW1yo/edit?usp=sharing"",""ลำปาง!J385"")"),0)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IFERROR(__xludf.DUMMYFUNCTION("IMPORTRANGE(""https://docs.google.com/spreadsheets/d/11923uPwbBZFjjGgGUA6NLw09EwE0CqkOc4q9oUmW1yo/edit?usp=sharing"",""ลำปาง!I386"")"),0)</f>
        <v>0</v>
      </c>
      <c r="J491" s="198">
        <f ca="1">IFERROR(__xludf.DUMMYFUNCTION("IMPORTRANGE(""https://docs.google.com/spreadsheets/d/11923uPwbBZFjjGgGUA6NLw09EwE0CqkOc4q9oUmW1yo/edit?usp=sharing"",""ลำปาง!J386"")"),0)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IFERROR(__xludf.DUMMYFUNCTION("IMPORTRANGE(""https://docs.google.com/spreadsheets/d/11923uPwbBZFjjGgGUA6NLw09EwE0CqkOc4q9oUmW1yo/edit?usp=sharing"",""ลำปาง!I387"")"),0)</f>
        <v>0</v>
      </c>
      <c r="J492" s="198">
        <f ca="1">IFERROR(__xludf.DUMMYFUNCTION("IMPORTRANGE(""https://docs.google.com/spreadsheets/d/11923uPwbBZFjjGgGUA6NLw09EwE0CqkOc4q9oUmW1yo/edit?usp=sharing"",""ลำปาง!J387"")"),0)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IFERROR(__xludf.DUMMYFUNCTION("IMPORTRANGE(""https://docs.google.com/spreadsheets/d/11923uPwbBZFjjGgGUA6NLw09EwE0CqkOc4q9oUmW1yo/edit?usp=sharing"",""ลำปาง!I388"")"),0)</f>
        <v>0</v>
      </c>
      <c r="J493" s="198">
        <f ca="1">IFERROR(__xludf.DUMMYFUNCTION("IMPORTRANGE(""https://docs.google.com/spreadsheets/d/11923uPwbBZFjjGgGUA6NLw09EwE0CqkOc4q9oUmW1yo/edit?usp=sharing"",""ลำปาง!J388"")"),0)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IFERROR(__xludf.DUMMYFUNCTION("IMPORTRANGE(""https://docs.google.com/spreadsheets/d/11923uPwbBZFjjGgGUA6NLw09EwE0CqkOc4q9oUmW1yo/edit?usp=sharing"",""ลำปาง!I389"")"),0)</f>
        <v>0</v>
      </c>
      <c r="J494" s="444">
        <f ca="1">IFERROR(__xludf.DUMMYFUNCTION("IMPORTRANGE(""https://docs.google.com/spreadsheets/d/11923uPwbBZFjjGgGUA6NLw09EwE0CqkOc4q9oUmW1yo/edit?usp=sharing"",""ลำปาง!J389"")"),0)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IFERROR(__xludf.DUMMYFUNCTION("IMPORTRANGE(""https://docs.google.com/spreadsheets/d/11923uPwbBZFjjGgGUA6NLw09EwE0CqkOc4q9oUmW1yo/edit?usp=sharing"",""ลำปาง!I390"")"),0)</f>
        <v>0</v>
      </c>
      <c r="J495" s="444">
        <f ca="1">IFERROR(__xludf.DUMMYFUNCTION("IMPORTRANGE(""https://docs.google.com/spreadsheets/d/11923uPwbBZFjjGgGUA6NLw09EwE0CqkOc4q9oUmW1yo/edit?usp=sharing"",""ลำปาง!J390"")"),0)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IFERROR(__xludf.DUMMYFUNCTION("IMPORTRANGE(""https://docs.google.com/spreadsheets/d/11923uPwbBZFjjGgGUA6NLw09EwE0CqkOc4q9oUmW1yo/edit?usp=sharing"",""ลำปาง!I391"")"),0)</f>
        <v>0</v>
      </c>
      <c r="J496" s="444">
        <f ca="1">IFERROR(__xludf.DUMMYFUNCTION("IMPORTRANGE(""https://docs.google.com/spreadsheets/d/11923uPwbBZFjjGgGUA6NLw09EwE0CqkOc4q9oUmW1yo/edit?usp=sharing"",""ลำปาง!J391"")"),0)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IFERROR(__xludf.DUMMYFUNCTION("IMPORTRANGE(""https://docs.google.com/spreadsheets/d/11923uPwbBZFjjGgGUA6NLw09EwE0CqkOc4q9oUmW1yo/edit?usp=sharing"",""ลำปาง!I392"")"),2846)</f>
        <v>2846</v>
      </c>
      <c r="J497" s="451">
        <f ca="1">IFERROR(__xludf.DUMMYFUNCTION("IMPORTRANGE(""https://docs.google.com/spreadsheets/d/11923uPwbBZFjjGgGUA6NLw09EwE0CqkOc4q9oUmW1yo/edit?usp=sharing"",""ลำปาง!J392"")"),730)</f>
        <v>730</v>
      </c>
      <c r="K497" s="452">
        <f t="shared" ca="1" si="117"/>
        <v>25.650035137034433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IFERROR(__xludf.DUMMYFUNCTION("IMPORTRANGE(""https://docs.google.com/spreadsheets/d/11923uPwbBZFjjGgGUA6NLw09EwE0CqkOc4q9oUmW1yo/edit?usp=sharing"",""ลำปาง!I393"")"),2846)</f>
        <v>2846</v>
      </c>
      <c r="J498" s="428">
        <f ca="1">IFERROR(__xludf.DUMMYFUNCTION("IMPORTRANGE(""https://docs.google.com/spreadsheets/d/11923uPwbBZFjjGgGUA6NLw09EwE0CqkOc4q9oUmW1yo/edit?usp=sharing"",""ลำปาง!J393"")"),730)</f>
        <v>730</v>
      </c>
      <c r="K498" s="171">
        <f t="shared" ca="1" si="117"/>
        <v>25.650035137034433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IFERROR(__xludf.DUMMYFUNCTION("IMPORTRANGE(""https://docs.google.com/spreadsheets/d/11923uPwbBZFjjGgGUA6NLw09EwE0CqkOc4q9oUmW1yo/edit?usp=sharing"",""ลำปาง!I394"")"),354)</f>
        <v>354</v>
      </c>
      <c r="J499" s="428">
        <f ca="1">IFERROR(__xludf.DUMMYFUNCTION("IMPORTRANGE(""https://docs.google.com/spreadsheets/d/11923uPwbBZFjjGgGUA6NLw09EwE0CqkOc4q9oUmW1yo/edit?usp=sharing"",""ลำปาง!J394"")"),97)</f>
        <v>97</v>
      </c>
      <c r="K499" s="211">
        <f t="shared" ca="1" si="117"/>
        <v>27.401129943502823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IFERROR(__xludf.DUMMYFUNCTION("IMPORTRANGE(""https://docs.google.com/spreadsheets/d/11923uPwbBZFjjGgGUA6NLw09EwE0CqkOc4q9oUmW1yo/edit?usp=sharing"",""ลำปาง!I395"")"),0)</f>
        <v>0</v>
      </c>
      <c r="J500" s="170">
        <f ca="1">IFERROR(__xludf.DUMMYFUNCTION("IMPORTRANGE(""https://docs.google.com/spreadsheets/d/11923uPwbBZFjjGgGUA6NLw09EwE0CqkOc4q9oUmW1yo/edit?usp=sharing"",""ลำปาง!J395"")"),730)</f>
        <v>730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IFERROR(__xludf.DUMMYFUNCTION("IMPORTRANGE(""https://docs.google.com/spreadsheets/d/11923uPwbBZFjjGgGUA6NLw09EwE0CqkOc4q9oUmW1yo/edit?usp=sharing"",""ลำปาง!I396"")"),0)</f>
        <v>0</v>
      </c>
      <c r="J501" s="170">
        <f ca="1">IFERROR(__xludf.DUMMYFUNCTION("IMPORTRANGE(""https://docs.google.com/spreadsheets/d/11923uPwbBZFjjGgGUA6NLw09EwE0CqkOc4q9oUmW1yo/edit?usp=sharing"",""ลำปาง!J396"")"),97)</f>
        <v>97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IFERROR(__xludf.DUMMYFUNCTION("IMPORTRANGE(""https://docs.google.com/spreadsheets/d/11923uPwbBZFjjGgGUA6NLw09EwE0CqkOc4q9oUmW1yo/edit?usp=sharing"",""ลำปาง!I397"")"),0)</f>
        <v>0</v>
      </c>
      <c r="J502" s="198">
        <f ca="1">IFERROR(__xludf.DUMMYFUNCTION("IMPORTRANGE(""https://docs.google.com/spreadsheets/d/11923uPwbBZFjjGgGUA6NLw09EwE0CqkOc4q9oUmW1yo/edit?usp=sharing"",""ลำปาง!J397"")"),730)</f>
        <v>730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IFERROR(__xludf.DUMMYFUNCTION("IMPORTRANGE(""https://docs.google.com/spreadsheets/d/11923uPwbBZFjjGgGUA6NLw09EwE0CqkOc4q9oUmW1yo/edit?usp=sharing"",""ลำปาง!I398"")"),0)</f>
        <v>0</v>
      </c>
      <c r="J503" s="207">
        <f ca="1">IFERROR(__xludf.DUMMYFUNCTION("IMPORTRANGE(""https://docs.google.com/spreadsheets/d/11923uPwbBZFjjGgGUA6NLw09EwE0CqkOc4q9oUmW1yo/edit?usp=sharing"",""ลำปาง!J398"")"),97)</f>
        <v>97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IFERROR(__xludf.DUMMYFUNCTION("IMPORTRANGE(""https://docs.google.com/spreadsheets/d/11923uPwbBZFjjGgGUA6NLw09EwE0CqkOc4q9oUmW1yo/edit?usp=sharing"",""ลำปาง!I399"")"),0)</f>
        <v>0</v>
      </c>
      <c r="J504" s="198">
        <f ca="1">IFERROR(__xludf.DUMMYFUNCTION("IMPORTRANGE(""https://docs.google.com/spreadsheets/d/11923uPwbBZFjjGgGUA6NLw09EwE0CqkOc4q9oUmW1yo/edit?usp=sharing"",""ลำปาง!J399"")"),0)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IFERROR(__xludf.DUMMYFUNCTION("IMPORTRANGE(""https://docs.google.com/spreadsheets/d/11923uPwbBZFjjGgGUA6NLw09EwE0CqkOc4q9oUmW1yo/edit?usp=sharing"",""ลำปาง!I400"")"),0)</f>
        <v>0</v>
      </c>
      <c r="J505" s="207">
        <f ca="1">IFERROR(__xludf.DUMMYFUNCTION("IMPORTRANGE(""https://docs.google.com/spreadsheets/d/11923uPwbBZFjjGgGUA6NLw09EwE0CqkOc4q9oUmW1yo/edit?usp=sharing"",""ลำปาง!J400"")"),0)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IFERROR(__xludf.DUMMYFUNCTION("IMPORTRANGE(""https://docs.google.com/spreadsheets/d/11923uPwbBZFjjGgGUA6NLw09EwE0CqkOc4q9oUmW1yo/edit?usp=sharing"",""ลำปาง!I401"")"),0)</f>
        <v>0</v>
      </c>
      <c r="J506" s="198">
        <f ca="1">IFERROR(__xludf.DUMMYFUNCTION("IMPORTRANGE(""https://docs.google.com/spreadsheets/d/11923uPwbBZFjjGgGUA6NLw09EwE0CqkOc4q9oUmW1yo/edit?usp=sharing"",""ลำปาง!J401"")"),0)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IFERROR(__xludf.DUMMYFUNCTION("IMPORTRANGE(""https://docs.google.com/spreadsheets/d/11923uPwbBZFjjGgGUA6NLw09EwE0CqkOc4q9oUmW1yo/edit?usp=sharing"",""ลำปาง!I402"")"),0)</f>
        <v>0</v>
      </c>
      <c r="J507" s="207">
        <f ca="1">IFERROR(__xludf.DUMMYFUNCTION("IMPORTRANGE(""https://docs.google.com/spreadsheets/d/11923uPwbBZFjjGgGUA6NLw09EwE0CqkOc4q9oUmW1yo/edit?usp=sharing"",""ลำปาง!J402"")"),0)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IFERROR(__xludf.DUMMYFUNCTION("IMPORTRANGE(""https://docs.google.com/spreadsheets/d/11923uPwbBZFjjGgGUA6NLw09EwE0CqkOc4q9oUmW1yo/edit?usp=sharing"",""ลำปาง!I403"")"),0)</f>
        <v>0</v>
      </c>
      <c r="J508" s="170">
        <f ca="1">IFERROR(__xludf.DUMMYFUNCTION("IMPORTRANGE(""https://docs.google.com/spreadsheets/d/11923uPwbBZFjjGgGUA6NLw09EwE0CqkOc4q9oUmW1yo/edit?usp=sharing"",""ลำปาง!J403"")"),0)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IFERROR(__xludf.DUMMYFUNCTION("IMPORTRANGE(""https://docs.google.com/spreadsheets/d/11923uPwbBZFjjGgGUA6NLw09EwE0CqkOc4q9oUmW1yo/edit?usp=sharing"",""ลำปาง!I404"")"),0)</f>
        <v>0</v>
      </c>
      <c r="J509" s="170">
        <f ca="1">IFERROR(__xludf.DUMMYFUNCTION("IMPORTRANGE(""https://docs.google.com/spreadsheets/d/11923uPwbBZFjjGgGUA6NLw09EwE0CqkOc4q9oUmW1yo/edit?usp=sharing"",""ลำปาง!J404"")"),0)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IFERROR(__xludf.DUMMYFUNCTION("IMPORTRANGE(""https://docs.google.com/spreadsheets/d/11923uPwbBZFjjGgGUA6NLw09EwE0CqkOc4q9oUmW1yo/edit?usp=sharing"",""ลำปาง!I405"")"),0)</f>
        <v>0</v>
      </c>
      <c r="J510" s="207">
        <f ca="1">IFERROR(__xludf.DUMMYFUNCTION("IMPORTRANGE(""https://docs.google.com/spreadsheets/d/11923uPwbBZFjjGgGUA6NLw09EwE0CqkOc4q9oUmW1yo/edit?usp=sharing"",""ลำปาง!J405"")"),0)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IFERROR(__xludf.DUMMYFUNCTION("IMPORTRANGE(""https://docs.google.com/spreadsheets/d/11923uPwbBZFjjGgGUA6NLw09EwE0CqkOc4q9oUmW1yo/edit?usp=sharing"",""ลำปาง!I406"")"),0)</f>
        <v>0</v>
      </c>
      <c r="J511" s="207">
        <f ca="1">IFERROR(__xludf.DUMMYFUNCTION("IMPORTRANGE(""https://docs.google.com/spreadsheets/d/11923uPwbBZFjjGgGUA6NLw09EwE0CqkOc4q9oUmW1yo/edit?usp=sharing"",""ลำปาง!J406"")"),0)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IFERROR(__xludf.DUMMYFUNCTION("IMPORTRANGE(""https://docs.google.com/spreadsheets/d/11923uPwbBZFjjGgGUA6NLw09EwE0CqkOc4q9oUmW1yo/edit?usp=sharing"",""ลำปาง!I407"")"),0)</f>
        <v>0</v>
      </c>
      <c r="J512" s="207">
        <f ca="1">IFERROR(__xludf.DUMMYFUNCTION("IMPORTRANGE(""https://docs.google.com/spreadsheets/d/11923uPwbBZFjjGgGUA6NLw09EwE0CqkOc4q9oUmW1yo/edit?usp=sharing"",""ลำปาง!J407"")"),0)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IFERROR(__xludf.DUMMYFUNCTION("IMPORTRANGE(""https://docs.google.com/spreadsheets/d/11923uPwbBZFjjGgGUA6NLw09EwE0CqkOc4q9oUmW1yo/edit?usp=sharing"",""ลำปาง!I408"")"),0)</f>
        <v>0</v>
      </c>
      <c r="J513" s="207">
        <f ca="1">IFERROR(__xludf.DUMMYFUNCTION("IMPORTRANGE(""https://docs.google.com/spreadsheets/d/11923uPwbBZFjjGgGUA6NLw09EwE0CqkOc4q9oUmW1yo/edit?usp=sharing"",""ลำปาง!J408"")"),0)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IFERROR(__xludf.DUMMYFUNCTION("IMPORTRANGE(""https://docs.google.com/spreadsheets/d/11923uPwbBZFjjGgGUA6NLw09EwE0CqkOc4q9oUmW1yo/edit?usp=sharing"",""ลำปาง!I409"")"),0)</f>
        <v>0</v>
      </c>
      <c r="J514" s="207">
        <f ca="1">IFERROR(__xludf.DUMMYFUNCTION("IMPORTRANGE(""https://docs.google.com/spreadsheets/d/11923uPwbBZFjjGgGUA6NLw09EwE0CqkOc4q9oUmW1yo/edit?usp=sharing"",""ลำปาง!J409"")"),0)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IFERROR(__xludf.DUMMYFUNCTION("IMPORTRANGE(""https://docs.google.com/spreadsheets/d/11923uPwbBZFjjGgGUA6NLw09EwE0CqkOc4q9oUmW1yo/edit?usp=sharing"",""ลำปาง!I410"")"),0)</f>
        <v>0</v>
      </c>
      <c r="J515" s="207">
        <f ca="1">IFERROR(__xludf.DUMMYFUNCTION("IMPORTRANGE(""https://docs.google.com/spreadsheets/d/11923uPwbBZFjjGgGUA6NLw09EwE0CqkOc4q9oUmW1yo/edit?usp=sharing"",""ลำปาง!J410"")"),0)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IFERROR(__xludf.DUMMYFUNCTION("IMPORTRANGE(""https://docs.google.com/spreadsheets/d/11923uPwbBZFjjGgGUA6NLw09EwE0CqkOc4q9oUmW1yo/edit?usp=sharing"",""ลำปาง!I411"")"),0)</f>
        <v>0</v>
      </c>
      <c r="J516" s="276">
        <f ca="1">IFERROR(__xludf.DUMMYFUNCTION("IMPORTRANGE(""https://docs.google.com/spreadsheets/d/11923uPwbBZFjjGgGUA6NLw09EwE0CqkOc4q9oUmW1yo/edit?usp=sharing"",""ลำปาง!J411"")"),0)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IFERROR(__xludf.DUMMYFUNCTION("IMPORTRANGE(""https://docs.google.com/spreadsheets/d/11923uPwbBZFjjGgGUA6NLw09EwE0CqkOc4q9oUmW1yo/edit?usp=sharing"",""ลำปาง!I412"")"),0)</f>
        <v>0</v>
      </c>
      <c r="J517" s="292">
        <f ca="1">IFERROR(__xludf.DUMMYFUNCTION("IMPORTRANGE(""https://docs.google.com/spreadsheets/d/11923uPwbBZFjjGgGUA6NLw09EwE0CqkOc4q9oUmW1yo/edit?usp=sharing"",""ลำปาง!J412"")"),0)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IFERROR(__xludf.DUMMYFUNCTION("IMPORTRANGE(""https://docs.google.com/spreadsheets/d/11923uPwbBZFjjGgGUA6NLw09EwE0CqkOc4q9oUmW1yo/edit?usp=sharing"",""ลำปาง!I413"")"),0)</f>
        <v>0</v>
      </c>
      <c r="J518" s="292">
        <f ca="1">IFERROR(__xludf.DUMMYFUNCTION("IMPORTRANGE(""https://docs.google.com/spreadsheets/d/11923uPwbBZFjjGgGUA6NLw09EwE0CqkOc4q9oUmW1yo/edit?usp=sharing"",""ลำปาง!J413"")"),0)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IFERROR(__xludf.DUMMYFUNCTION("IMPORTRANGE(""https://docs.google.com/spreadsheets/d/11923uPwbBZFjjGgGUA6NLw09EwE0CqkOc4q9oUmW1yo/edit?usp=sharing"",""ลำปาง!I414"")"),0)</f>
        <v>0</v>
      </c>
      <c r="J519" s="197">
        <f ca="1">IFERROR(__xludf.DUMMYFUNCTION("IMPORTRANGE(""https://docs.google.com/spreadsheets/d/11923uPwbBZFjjGgGUA6NLw09EwE0CqkOc4q9oUmW1yo/edit?usp=sharing"",""ลำปาง!J414"")"),0)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IFERROR(__xludf.DUMMYFUNCTION("IMPORTRANGE(""https://docs.google.com/spreadsheets/d/11923uPwbBZFjjGgGUA6NLw09EwE0CqkOc4q9oUmW1yo/edit?usp=sharing"",""ลำปาง!I415"")"),0)</f>
        <v>0</v>
      </c>
      <c r="J520" s="197">
        <f ca="1">IFERROR(__xludf.DUMMYFUNCTION("IMPORTRANGE(""https://docs.google.com/spreadsheets/d/11923uPwbBZFjjGgGUA6NLw09EwE0CqkOc4q9oUmW1yo/edit?usp=sharing"",""ลำปาง!J415"")"),0)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IFERROR(__xludf.DUMMYFUNCTION("IMPORTRANGE(""https://docs.google.com/spreadsheets/d/11923uPwbBZFjjGgGUA6NLw09EwE0CqkOc4q9oUmW1yo/edit?usp=sharing"",""ลำปาง!I416"")"),0)</f>
        <v>0</v>
      </c>
      <c r="J521" s="197">
        <f ca="1">IFERROR(__xludf.DUMMYFUNCTION("IMPORTRANGE(""https://docs.google.com/spreadsheets/d/11923uPwbBZFjjGgGUA6NLw09EwE0CqkOc4q9oUmW1yo/edit?usp=sharing"",""ลำปาง!J416"")"),0)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IFERROR(__xludf.DUMMYFUNCTION("IMPORTRANGE(""https://docs.google.com/spreadsheets/d/11923uPwbBZFjjGgGUA6NLw09EwE0CqkOc4q9oUmW1yo/edit?usp=sharing"",""ลำปาง!I417"")"),0)</f>
        <v>0</v>
      </c>
      <c r="J522" s="197">
        <f ca="1">IFERROR(__xludf.DUMMYFUNCTION("IMPORTRANGE(""https://docs.google.com/spreadsheets/d/11923uPwbBZFjjGgGUA6NLw09EwE0CqkOc4q9oUmW1yo/edit?usp=sharing"",""ลำปาง!J417"")"),0)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IFERROR(__xludf.DUMMYFUNCTION("IMPORTRANGE(""https://docs.google.com/spreadsheets/d/11923uPwbBZFjjGgGUA6NLw09EwE0CqkOc4q9oUmW1yo/edit?usp=sharing"",""ลำปาง!I418"")"),0)</f>
        <v>0</v>
      </c>
      <c r="J523" s="197">
        <f ca="1">IFERROR(__xludf.DUMMYFUNCTION("IMPORTRANGE(""https://docs.google.com/spreadsheets/d/11923uPwbBZFjjGgGUA6NLw09EwE0CqkOc4q9oUmW1yo/edit?usp=sharing"",""ลำปาง!J418"")"),0)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IFERROR(__xludf.DUMMYFUNCTION("IMPORTRANGE(""https://docs.google.com/spreadsheets/d/11923uPwbBZFjjGgGUA6NLw09EwE0CqkOc4q9oUmW1yo/edit?usp=sharing"",""ลำปาง!I419"")"),0)</f>
        <v>0</v>
      </c>
      <c r="J524" s="197">
        <f ca="1">IFERROR(__xludf.DUMMYFUNCTION("IMPORTRANGE(""https://docs.google.com/spreadsheets/d/11923uPwbBZFjjGgGUA6NLw09EwE0CqkOc4q9oUmW1yo/edit?usp=sharing"",""ลำปาง!J419"")"),0)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IFERROR(__xludf.DUMMYFUNCTION("IMPORTRANGE(""https://docs.google.com/spreadsheets/d/11923uPwbBZFjjGgGUA6NLw09EwE0CqkOc4q9oUmW1yo/edit?usp=sharing"",""ลำปาง!I420"")"),0)</f>
        <v>0</v>
      </c>
      <c r="J525" s="292">
        <f ca="1">IFERROR(__xludf.DUMMYFUNCTION("IMPORTRANGE(""https://docs.google.com/spreadsheets/d/11923uPwbBZFjjGgGUA6NLw09EwE0CqkOc4q9oUmW1yo/edit?usp=sharing"",""ลำปาง!J420"")"),0)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IFERROR(__xludf.DUMMYFUNCTION("IMPORTRANGE(""https://docs.google.com/spreadsheets/d/11923uPwbBZFjjGgGUA6NLw09EwE0CqkOc4q9oUmW1yo/edit?usp=sharing"",""ลำปาง!I421"")"),0)</f>
        <v>0</v>
      </c>
      <c r="J526" s="292">
        <f ca="1">IFERROR(__xludf.DUMMYFUNCTION("IMPORTRANGE(""https://docs.google.com/spreadsheets/d/11923uPwbBZFjjGgGUA6NLw09EwE0CqkOc4q9oUmW1yo/edit?usp=sharing"",""ลำปาง!J421"")"),0)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IFERROR(__xludf.DUMMYFUNCTION("IMPORTRANGE(""https://docs.google.com/spreadsheets/d/11923uPwbBZFjjGgGUA6NLw09EwE0CqkOc4q9oUmW1yo/edit?usp=sharing"",""ลำปาง!I422"")"),0)</f>
        <v>0</v>
      </c>
      <c r="J527" s="207">
        <f ca="1">IFERROR(__xludf.DUMMYFUNCTION("IMPORTRANGE(""https://docs.google.com/spreadsheets/d/11923uPwbBZFjjGgGUA6NLw09EwE0CqkOc4q9oUmW1yo/edit?usp=sharing"",""ลำปาง!J422"")"),0)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IFERROR(__xludf.DUMMYFUNCTION("IMPORTRANGE(""https://docs.google.com/spreadsheets/d/11923uPwbBZFjjGgGUA6NLw09EwE0CqkOc4q9oUmW1yo/edit?usp=sharing"",""ลำปาง!I423"")"),0)</f>
        <v>0</v>
      </c>
      <c r="J528" s="207">
        <f ca="1">IFERROR(__xludf.DUMMYFUNCTION("IMPORTRANGE(""https://docs.google.com/spreadsheets/d/11923uPwbBZFjjGgGUA6NLw09EwE0CqkOc4q9oUmW1yo/edit?usp=sharing"",""ลำปาง!J423"")"),0)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IFERROR(__xludf.DUMMYFUNCTION("IMPORTRANGE(""https://docs.google.com/spreadsheets/d/11923uPwbBZFjjGgGUA6NLw09EwE0CqkOc4q9oUmW1yo/edit?usp=sharing"",""ลำปาง!I424"")"),0)</f>
        <v>0</v>
      </c>
      <c r="J529" s="207">
        <f ca="1">IFERROR(__xludf.DUMMYFUNCTION("IMPORTRANGE(""https://docs.google.com/spreadsheets/d/11923uPwbBZFjjGgGUA6NLw09EwE0CqkOc4q9oUmW1yo/edit?usp=sharing"",""ลำปาง!J424"")"),0)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IFERROR(__xludf.DUMMYFUNCTION("IMPORTRANGE(""https://docs.google.com/spreadsheets/d/11923uPwbBZFjjGgGUA6NLw09EwE0CqkOc4q9oUmW1yo/edit?usp=sharing"",""ลำปาง!I425"")"),0)</f>
        <v>0</v>
      </c>
      <c r="J530" s="207">
        <f ca="1">IFERROR(__xludf.DUMMYFUNCTION("IMPORTRANGE(""https://docs.google.com/spreadsheets/d/11923uPwbBZFjjGgGUA6NLw09EwE0CqkOc4q9oUmW1yo/edit?usp=sharing"",""ลำปาง!J425"")"),0)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IFERROR(__xludf.DUMMYFUNCTION("IMPORTRANGE(""https://docs.google.com/spreadsheets/d/11923uPwbBZFjjGgGUA6NLw09EwE0CqkOc4q9oUmW1yo/edit?usp=sharing"",""ลำปาง!I426"")"),0)</f>
        <v>0</v>
      </c>
      <c r="J531" s="207">
        <f ca="1">IFERROR(__xludf.DUMMYFUNCTION("IMPORTRANGE(""https://docs.google.com/spreadsheets/d/11923uPwbBZFjjGgGUA6NLw09EwE0CqkOc4q9oUmW1yo/edit?usp=sharing"",""ลำปาง!J426"")"),0)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IFERROR(__xludf.DUMMYFUNCTION("IMPORTRANGE(""https://docs.google.com/spreadsheets/d/11923uPwbBZFjjGgGUA6NLw09EwE0CqkOc4q9oUmW1yo/edit?usp=sharing"",""ลำปาง!I427"")"),0)</f>
        <v>0</v>
      </c>
      <c r="J532" s="474">
        <f ca="1">IFERROR(__xludf.DUMMYFUNCTION("IMPORTRANGE(""https://docs.google.com/spreadsheets/d/11923uPwbBZFjjGgGUA6NLw09EwE0CqkOc4q9oUmW1yo/edit?usp=sharing"",""ลำปาง!J427"")"),0)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IFERROR(__xludf.DUMMYFUNCTION("IMPORTRANGE(""https://docs.google.com/spreadsheets/d/11923uPwbBZFjjGgGUA6NLw09EwE0CqkOc4q9oUmW1yo/edit?usp=sharing"",""ลำปาง!I428"")"),22)</f>
        <v>22</v>
      </c>
      <c r="J533" s="418">
        <f ca="1">IFERROR(__xludf.DUMMYFUNCTION("IMPORTRANGE(""https://docs.google.com/spreadsheets/d/11923uPwbBZFjjGgGUA6NLw09EwE0CqkOc4q9oUmW1yo/edit?usp=sharing"",""ลำปาง!J428"")"),22)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IFERROR(__xludf.DUMMYFUNCTION("IMPORTRANGE(""https://docs.google.com/spreadsheets/d/11923uPwbBZFjjGgGUA6NLw09EwE0CqkOc4q9oUmW1yo/edit?usp=sharing"",""ลำปาง!L428"")"),34340)</f>
        <v>34340</v>
      </c>
      <c r="M533" s="420"/>
      <c r="N533" s="420">
        <f ca="1">IFERROR(__xludf.DUMMYFUNCTION("IMPORTRANGE(""https://docs.google.com/spreadsheets/d/11923uPwbBZFjjGgGUA6NLw09EwE0CqkOc4q9oUmW1yo/edit?usp=sharing"",""ลำปาง!M428"")"),28015.2399999999)</f>
        <v>28015.2399999999</v>
      </c>
      <c r="O533" s="420">
        <f t="shared" ref="O533:O537" ca="1" si="118">+IF(L533&gt;0,N533*100/L533,0)</f>
        <v>81.581945253348565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IFERROR(__xludf.DUMMYFUNCTION("IMPORTRANGE(""https://docs.google.com/spreadsheets/d/11923uPwbBZFjjGgGUA6NLw09EwE0CqkOc4q9oUmW1yo/edit?usp=sharing"",""ลำปาง!L429"")"),0)</f>
        <v>0</v>
      </c>
      <c r="M534" s="172"/>
      <c r="N534" s="178">
        <f ca="1">IFERROR(__xludf.DUMMYFUNCTION("IMPORTRANGE(""https://docs.google.com/spreadsheets/d/11923uPwbBZFjjGgGUA6NLw09EwE0CqkOc4q9oUmW1yo/edit?usp=sharing"",""ลำปาง!M429"")"),0)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IFERROR(__xludf.DUMMYFUNCTION("IMPORTRANGE(""https://docs.google.com/spreadsheets/d/11923uPwbBZFjjGgGUA6NLw09EwE0CqkOc4q9oUmW1yo/edit?usp=sharing"",""ลำปาง!L430"")"),34340)</f>
        <v>34340</v>
      </c>
      <c r="M535" s="173"/>
      <c r="N535" s="178">
        <f ca="1">IFERROR(__xludf.DUMMYFUNCTION("IMPORTRANGE(""https://docs.google.com/spreadsheets/d/11923uPwbBZFjjGgGUA6NLw09EwE0CqkOc4q9oUmW1yo/edit?usp=sharing"",""ลำปาง!M430"")"),28015.2399999999)</f>
        <v>28015.2399999999</v>
      </c>
      <c r="O535" s="178">
        <f t="shared" ca="1" si="118"/>
        <v>81.581945253348565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IFERROR(__xludf.DUMMYFUNCTION("IMPORTRANGE(""https://docs.google.com/spreadsheets/d/11923uPwbBZFjjGgGUA6NLw09EwE0CqkOc4q9oUmW1yo/edit?usp=sharing"",""ลำปาง!L431"")"),0)</f>
        <v>0</v>
      </c>
      <c r="M536" s="178"/>
      <c r="N536" s="178">
        <f ca="1">IFERROR(__xludf.DUMMYFUNCTION("IMPORTRANGE(""https://docs.google.com/spreadsheets/d/11923uPwbBZFjjGgGUA6NLw09EwE0CqkOc4q9oUmW1yo/edit?usp=sharing"",""ลำปาง!M431"")"),0)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IFERROR(__xludf.DUMMYFUNCTION("IMPORTRANGE(""https://docs.google.com/spreadsheets/d/11923uPwbBZFjjGgGUA6NLw09EwE0CqkOc4q9oUmW1yo/edit?usp=sharing"",""ลำปาง!L432"")"),34340)</f>
        <v>34340</v>
      </c>
      <c r="M537" s="178"/>
      <c r="N537" s="178">
        <f ca="1">IFERROR(__xludf.DUMMYFUNCTION("IMPORTRANGE(""https://docs.google.com/spreadsheets/d/11923uPwbBZFjjGgGUA6NLw09EwE0CqkOc4q9oUmW1yo/edit?usp=sharing"",""ลำปาง!M432"")"),28015.2399999999)</f>
        <v>28015.2399999999</v>
      </c>
      <c r="O537" s="178">
        <f t="shared" ca="1" si="118"/>
        <v>81.581945253348565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IFERROR(__xludf.DUMMYFUNCTION("IMPORTRANGE(""https://docs.google.com/spreadsheets/d/11923uPwbBZFjjGgGUA6NLw09EwE0CqkOc4q9oUmW1yo/edit?usp=sharing"",""ลำปาง!M433"")"),18740)</f>
        <v>18740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IFERROR(__xludf.DUMMYFUNCTION("IMPORTRANGE(""https://docs.google.com/spreadsheets/d/11923uPwbBZFjjGgGUA6NLw09EwE0CqkOc4q9oUmW1yo/edit?usp=sharing"",""ลำปาง!M434"")"),0)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IFERROR(__xludf.DUMMYFUNCTION("IMPORTRANGE(""https://docs.google.com/spreadsheets/d/11923uPwbBZFjjGgGUA6NLw09EwE0CqkOc4q9oUmW1yo/edit?usp=sharing"",""ลำปาง!M435"")"),0)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IFERROR(__xludf.DUMMYFUNCTION("IMPORTRANGE(""https://docs.google.com/spreadsheets/d/11923uPwbBZFjjGgGUA6NLw09EwE0CqkOc4q9oUmW1yo/edit?usp=sharing"",""ลำปาง!M436"")"),9275.24)</f>
        <v>9275.24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IFERROR(__xludf.DUMMYFUNCTION("IMPORTRANGE(""https://docs.google.com/spreadsheets/d/11923uPwbBZFjjGgGUA6NLw09EwE0CqkOc4q9oUmW1yo/edit?usp=sharing"",""ลำปาง!J438"")"),0)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IFERROR(__xludf.DUMMYFUNCTION("IMPORTRANGE(""https://docs.google.com/spreadsheets/d/11923uPwbBZFjjGgGUA6NLw09EwE0CqkOc4q9oUmW1yo/edit?usp=sharing"",""ลำปาง!J439"")"),1)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IFERROR(__xludf.DUMMYFUNCTION("IMPORTRANGE(""https://docs.google.com/spreadsheets/d/11923uPwbBZFjjGgGUA6NLw09EwE0CqkOc4q9oUmW1yo/edit?usp=sharing"",""ลำปาง!J440"")"),1)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IFERROR(__xludf.DUMMYFUNCTION("IMPORTRANGE(""https://docs.google.com/spreadsheets/d/11923uPwbBZFjjGgGUA6NLw09EwE0CqkOc4q9oUmW1yo/edit?usp=sharing"",""ลำปาง!J441"")"),1)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IFERROR(__xludf.DUMMYFUNCTION("IMPORTRANGE(""https://docs.google.com/spreadsheets/d/11923uPwbBZFjjGgGUA6NLw09EwE0CqkOc4q9oUmW1yo/edit?usp=sharing"",""ลำปาง!I442"")"),22)</f>
        <v>22</v>
      </c>
      <c r="J547" s="198">
        <f ca="1">IFERROR(__xludf.DUMMYFUNCTION("IMPORTRANGE(""https://docs.google.com/spreadsheets/d/11923uPwbBZFjjGgGUA6NLw09EwE0CqkOc4q9oUmW1yo/edit?usp=sharing"",""ลำปาง!J442"")"),22)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IFERROR(__xludf.DUMMYFUNCTION("IMPORTRANGE(""https://docs.google.com/spreadsheets/d/11923uPwbBZFjjGgGUA6NLw09EwE0CqkOc4q9oUmW1yo/edit?usp=sharing"",""ลำปาง!J166"")"),0)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IFERROR(__xludf.DUMMYFUNCTION("IMPORTRANGE(""https://docs.google.com/spreadsheets/d/11923uPwbBZFjjGgGUA6NLw09EwE0CqkOc4q9oUmW1yo/edit?usp=sharing"",""ลำปาง!J444"")"),0)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IFERROR(__xludf.DUMMYFUNCTION("IMPORTRANGE(""https://docs.google.com/spreadsheets/d/11923uPwbBZFjjGgGUA6NLw09EwE0CqkOc4q9oUmW1yo/edit?usp=sharing"",""ลำปาง!J445"")"),0)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IFERROR(__xludf.DUMMYFUNCTION("IMPORTRANGE(""https://docs.google.com/spreadsheets/d/11923uPwbBZFjjGgGUA6NLw09EwE0CqkOc4q9oUmW1yo/edit?usp=sharing"",""ลำปาง!I446"")"),3000)</f>
        <v>3000</v>
      </c>
      <c r="J551" s="418">
        <f ca="1">IFERROR(__xludf.DUMMYFUNCTION("IMPORTRANGE(""https://docs.google.com/spreadsheets/d/11923uPwbBZFjjGgGUA6NLw09EwE0CqkOc4q9oUmW1yo/edit?usp=sharing"",""ลำปาง!J446"")"),118)</f>
        <v>118</v>
      </c>
      <c r="K551" s="419">
        <f ca="1">IF(I551&gt;0,J551*100/I551,0)</f>
        <v>3.9333333333333331</v>
      </c>
      <c r="L551" s="420">
        <f ca="1">IFERROR(__xludf.DUMMYFUNCTION("IMPORTRANGE(""https://docs.google.com/spreadsheets/d/11923uPwbBZFjjGgGUA6NLw09EwE0CqkOc4q9oUmW1yo/edit?usp=sharing"",""ลำปาง!L446"")"),188000)</f>
        <v>188000</v>
      </c>
      <c r="M551" s="420"/>
      <c r="N551" s="420">
        <f ca="1">IFERROR(__xludf.DUMMYFUNCTION("IMPORTRANGE(""https://docs.google.com/spreadsheets/d/11923uPwbBZFjjGgGUA6NLw09EwE0CqkOc4q9oUmW1yo/edit?usp=sharing"",""ลำปาง!M446"")"),7604.24)</f>
        <v>7604.24</v>
      </c>
      <c r="O551" s="420">
        <f t="shared" ref="O551:O555" ca="1" si="120">+IF(L551&gt;0,N551*100/L551,0)</f>
        <v>4.0448085106382976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IFERROR(__xludf.DUMMYFUNCTION("IMPORTRANGE(""https://docs.google.com/spreadsheets/d/11923uPwbBZFjjGgGUA6NLw09EwE0CqkOc4q9oUmW1yo/edit?usp=sharing"",""ลำปาง!L447"")"),0)</f>
        <v>0</v>
      </c>
      <c r="M552" s="172"/>
      <c r="N552" s="178">
        <f ca="1">IFERROR(__xludf.DUMMYFUNCTION("IMPORTRANGE(""https://docs.google.com/spreadsheets/d/11923uPwbBZFjjGgGUA6NLw09EwE0CqkOc4q9oUmW1yo/edit?usp=sharing"",""ลำปาง!M447"")"),0)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IFERROR(__xludf.DUMMYFUNCTION("IMPORTRANGE(""https://docs.google.com/spreadsheets/d/11923uPwbBZFjjGgGUA6NLw09EwE0CqkOc4q9oUmW1yo/edit?usp=sharing"",""ลำปาง!L448"")"),188000)</f>
        <v>188000</v>
      </c>
      <c r="M553" s="173"/>
      <c r="N553" s="178">
        <f ca="1">IFERROR(__xludf.DUMMYFUNCTION("IMPORTRANGE(""https://docs.google.com/spreadsheets/d/11923uPwbBZFjjGgGUA6NLw09EwE0CqkOc4q9oUmW1yo/edit?usp=sharing"",""ลำปาง!M448"")"),7604.24)</f>
        <v>7604.24</v>
      </c>
      <c r="O553" s="178">
        <f t="shared" ca="1" si="120"/>
        <v>4.0448085106382976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IFERROR(__xludf.DUMMYFUNCTION("IMPORTRANGE(""https://docs.google.com/spreadsheets/d/11923uPwbBZFjjGgGUA6NLw09EwE0CqkOc4q9oUmW1yo/edit?usp=sharing"",""ลำปาง!L449"")"),0)</f>
        <v>0</v>
      </c>
      <c r="M554" s="178"/>
      <c r="N554" s="178">
        <f ca="1">IFERROR(__xludf.DUMMYFUNCTION("IMPORTRANGE(""https://docs.google.com/spreadsheets/d/11923uPwbBZFjjGgGUA6NLw09EwE0CqkOc4q9oUmW1yo/edit?usp=sharing"",""ลำปาง!M449"")"),0)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IFERROR(__xludf.DUMMYFUNCTION("IMPORTRANGE(""https://docs.google.com/spreadsheets/d/11923uPwbBZFjjGgGUA6NLw09EwE0CqkOc4q9oUmW1yo/edit?usp=sharing"",""ลำปาง!L450"")"),188000)</f>
        <v>188000</v>
      </c>
      <c r="M555" s="178"/>
      <c r="N555" s="178">
        <f ca="1">IFERROR(__xludf.DUMMYFUNCTION("IMPORTRANGE(""https://docs.google.com/spreadsheets/d/11923uPwbBZFjjGgGUA6NLw09EwE0CqkOc4q9oUmW1yo/edit?usp=sharing"",""ลำปาง!M450"")"),7604.24)</f>
        <v>7604.24</v>
      </c>
      <c r="O555" s="178">
        <f t="shared" ca="1" si="120"/>
        <v>4.0448085106382976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IFERROR(__xludf.DUMMYFUNCTION("IMPORTRANGE(""https://docs.google.com/spreadsheets/d/11923uPwbBZFjjGgGUA6NLw09EwE0CqkOc4q9oUmW1yo/edit?usp=sharing"",""ลำปาง!M451"")"),0)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IFERROR(__xludf.DUMMYFUNCTION("IMPORTRANGE(""https://docs.google.com/spreadsheets/d/11923uPwbBZFjjGgGUA6NLw09EwE0CqkOc4q9oUmW1yo/edit?usp=sharing"",""ลำปาง!M452"")"),0)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IFERROR(__xludf.DUMMYFUNCTION("IMPORTRANGE(""https://docs.google.com/spreadsheets/d/11923uPwbBZFjjGgGUA6NLw09EwE0CqkOc4q9oUmW1yo/edit?usp=sharing"",""ลำปาง!M453"")"),0)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IFERROR(__xludf.DUMMYFUNCTION("IMPORTRANGE(""https://docs.google.com/spreadsheets/d/11923uPwbBZFjjGgGUA6NLw09EwE0CqkOc4q9oUmW1yo/edit?usp=sharing"",""ลำปาง!M454"")"),7604.24)</f>
        <v>7604.24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IFERROR(__xludf.DUMMYFUNCTION("IMPORTRANGE(""https://docs.google.com/spreadsheets/d/11923uPwbBZFjjGgGUA6NLw09EwE0CqkOc4q9oUmW1yo/edit?usp=sharing"",""ลำปาง!I455"")"),3000)</f>
        <v>3000</v>
      </c>
      <c r="J560" s="170">
        <f ca="1">IFERROR(__xludf.DUMMYFUNCTION("IMPORTRANGE(""https://docs.google.com/spreadsheets/d/11923uPwbBZFjjGgGUA6NLw09EwE0CqkOc4q9oUmW1yo/edit?usp=sharing"",""ลำปาง!J455"")"),118)</f>
        <v>118</v>
      </c>
      <c r="K560" s="233">
        <f t="shared" ref="K560:K564" ca="1" si="121">IF(I560&gt;0,J560*100/I560,0)</f>
        <v>3.9333333333333331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IFERROR(__xludf.DUMMYFUNCTION("IMPORTRANGE(""https://docs.google.com/spreadsheets/d/11923uPwbBZFjjGgGUA6NLw09EwE0CqkOc4q9oUmW1yo/edit?usp=sharing"",""ลำปาง!I456"")"),0)</f>
        <v>0</v>
      </c>
      <c r="J561" s="213">
        <f ca="1">IFERROR(__xludf.DUMMYFUNCTION("IMPORTRANGE(""https://docs.google.com/spreadsheets/d/11923uPwbBZFjjGgGUA6NLw09EwE0CqkOc4q9oUmW1yo/edit?usp=sharing"",""ลำปาง!J456"")"),10)</f>
        <v>10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 t="str">
        <f ca="1">IFERROR(__xludf.DUMMYFUNCTION("IMPORTRANGE(""https://docs.google.com/spreadsheets/d/11923uPwbBZFjjGgGUA6NLw09EwE0CqkOc4q9oUmW1yo/edit?usp=sharing"",""ลำปาง!I457"")"),"")</f>
        <v/>
      </c>
      <c r="J562" s="213" t="str">
        <f ca="1">IFERROR(__xludf.DUMMYFUNCTION("IMPORTRANGE(""https://docs.google.com/spreadsheets/d/11923uPwbBZFjjGgGUA6NLw09EwE0CqkOc4q9oUmW1yo/edit?usp=sharing"",""ลำปาง!J457"")"),"")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 t="str">
        <f ca="1">IFERROR(__xludf.DUMMYFUNCTION("IMPORTRANGE(""https://docs.google.com/spreadsheets/d/11923uPwbBZFjjGgGUA6NLw09EwE0CqkOc4q9oUmW1yo/edit?usp=sharing"",""ลำปาง!I458"")"),"")</f>
        <v/>
      </c>
      <c r="J563" s="197" t="str">
        <f ca="1">IFERROR(__xludf.DUMMYFUNCTION("IMPORTRANGE(""https://docs.google.com/spreadsheets/d/11923uPwbBZFjjGgGUA6NLw09EwE0CqkOc4q9oUmW1yo/edit?usp=sharing"",""ลำปาง!J458"")"),"")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IFERROR(__xludf.DUMMYFUNCTION("IMPORTRANGE(""https://docs.google.com/spreadsheets/d/11923uPwbBZFjjGgGUA6NLw09EwE0CqkOc4q9oUmW1yo/edit?usp=sharing"",""ลำปาง!I459"")"),1800)</f>
        <v>1800</v>
      </c>
      <c r="J564" s="379">
        <f ca="1">IFERROR(__xludf.DUMMYFUNCTION("IMPORTRANGE(""https://docs.google.com/spreadsheets/d/11923uPwbBZFjjGgGUA6NLw09EwE0CqkOc4q9oUmW1yo/edit?usp=sharing"",""ลำปาง!J459"")"),971)</f>
        <v>971</v>
      </c>
      <c r="K564" s="380">
        <f t="shared" ca="1" si="121"/>
        <v>53.944444444444443</v>
      </c>
      <c r="L564" s="381">
        <f ca="1">IFERROR(__xludf.DUMMYFUNCTION("IMPORTRANGE(""https://docs.google.com/spreadsheets/d/11923uPwbBZFjjGgGUA6NLw09EwE0CqkOc4q9oUmW1yo/edit?usp=sharing"",""ลำปาง!L459"")"),145040)</f>
        <v>145040</v>
      </c>
      <c r="M564" s="381"/>
      <c r="N564" s="381">
        <f ca="1">IFERROR(__xludf.DUMMYFUNCTION("IMPORTRANGE(""https://docs.google.com/spreadsheets/d/11923uPwbBZFjjGgGUA6NLw09EwE0CqkOc4q9oUmW1yo/edit?usp=sharing"",""ลำปาง!M459"")"),33400)</f>
        <v>33400</v>
      </c>
      <c r="O564" s="381">
        <f t="shared" ref="O564:O568" ca="1" si="122">+IF(L564&gt;0,N564*100/L564,0)</f>
        <v>23.028130170987314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IFERROR(__xludf.DUMMYFUNCTION("IMPORTRANGE(""https://docs.google.com/spreadsheets/d/11923uPwbBZFjjGgGUA6NLw09EwE0CqkOc4q9oUmW1yo/edit?usp=sharing"",""ลำปาง!L460"")"),0)</f>
        <v>0</v>
      </c>
      <c r="M565" s="172"/>
      <c r="N565" s="178">
        <f ca="1">IFERROR(__xludf.DUMMYFUNCTION("IMPORTRANGE(""https://docs.google.com/spreadsheets/d/11923uPwbBZFjjGgGUA6NLw09EwE0CqkOc4q9oUmW1yo/edit?usp=sharing"",""ลำปาง!M460"")"),0)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IFERROR(__xludf.DUMMYFUNCTION("IMPORTRANGE(""https://docs.google.com/spreadsheets/d/11923uPwbBZFjjGgGUA6NLw09EwE0CqkOc4q9oUmW1yo/edit?usp=sharing"",""ลำปาง!L461"")"),145040)</f>
        <v>145040</v>
      </c>
      <c r="M566" s="173"/>
      <c r="N566" s="178">
        <f ca="1">IFERROR(__xludf.DUMMYFUNCTION("IMPORTRANGE(""https://docs.google.com/spreadsheets/d/11923uPwbBZFjjGgGUA6NLw09EwE0CqkOc4q9oUmW1yo/edit?usp=sharing"",""ลำปาง!M461"")"),33400)</f>
        <v>33400</v>
      </c>
      <c r="O566" s="178">
        <f t="shared" ca="1" si="122"/>
        <v>23.028130170987314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IFERROR(__xludf.DUMMYFUNCTION("IMPORTRANGE(""https://docs.google.com/spreadsheets/d/11923uPwbBZFjjGgGUA6NLw09EwE0CqkOc4q9oUmW1yo/edit?usp=sharing"",""ลำปาง!L462"")"),0)</f>
        <v>0</v>
      </c>
      <c r="M567" s="178"/>
      <c r="N567" s="178">
        <f ca="1">IFERROR(__xludf.DUMMYFUNCTION("IMPORTRANGE(""https://docs.google.com/spreadsheets/d/11923uPwbBZFjjGgGUA6NLw09EwE0CqkOc4q9oUmW1yo/edit?usp=sharing"",""ลำปาง!M462"")"),0)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IFERROR(__xludf.DUMMYFUNCTION("IMPORTRANGE(""https://docs.google.com/spreadsheets/d/11923uPwbBZFjjGgGUA6NLw09EwE0CqkOc4q9oUmW1yo/edit?usp=sharing"",""ลำปาง!L463"")"),145040)</f>
        <v>145040</v>
      </c>
      <c r="M568" s="178"/>
      <c r="N568" s="178">
        <f ca="1">IFERROR(__xludf.DUMMYFUNCTION("IMPORTRANGE(""https://docs.google.com/spreadsheets/d/11923uPwbBZFjjGgGUA6NLw09EwE0CqkOc4q9oUmW1yo/edit?usp=sharing"",""ลำปาง!M463"")"),33400)</f>
        <v>33400</v>
      </c>
      <c r="O568" s="178">
        <f t="shared" ca="1" si="122"/>
        <v>23.028130170987314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IFERROR(__xludf.DUMMYFUNCTION("IMPORTRANGE(""https://docs.google.com/spreadsheets/d/11923uPwbBZFjjGgGUA6NLw09EwE0CqkOc4q9oUmW1yo/edit?usp=sharing"",""ลำปาง!M464"")"),0)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IFERROR(__xludf.DUMMYFUNCTION("IMPORTRANGE(""https://docs.google.com/spreadsheets/d/11923uPwbBZFjjGgGUA6NLw09EwE0CqkOc4q9oUmW1yo/edit?usp=sharing"",""ลำปาง!M465"")"),0)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IFERROR(__xludf.DUMMYFUNCTION("IMPORTRANGE(""https://docs.google.com/spreadsheets/d/11923uPwbBZFjjGgGUA6NLw09EwE0CqkOc4q9oUmW1yo/edit?usp=sharing"",""ลำปาง!M466"")"),11000)</f>
        <v>11000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IFERROR(__xludf.DUMMYFUNCTION("IMPORTRANGE(""https://docs.google.com/spreadsheets/d/11923uPwbBZFjjGgGUA6NLw09EwE0CqkOc4q9oUmW1yo/edit?usp=sharing"",""ลำปาง!M467"")"),22400)</f>
        <v>22400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IFERROR(__xludf.DUMMYFUNCTION("IMPORTRANGE(""https://docs.google.com/spreadsheets/d/11923uPwbBZFjjGgGUA6NLw09EwE0CqkOc4q9oUmW1yo/edit?usp=sharing"",""ลำปาง!I468"")"),1800)</f>
        <v>1800</v>
      </c>
      <c r="J573" s="428">
        <f ca="1">IFERROR(__xludf.DUMMYFUNCTION("IMPORTRANGE(""https://docs.google.com/spreadsheets/d/11923uPwbBZFjjGgGUA6NLw09EwE0CqkOc4q9oUmW1yo/edit?usp=sharing"",""ลำปาง!J468"")"),971)</f>
        <v>971</v>
      </c>
      <c r="K573" s="211">
        <f ca="1">IF(I573&gt;0,J573*100/I573,0)</f>
        <v>53.944444444444443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IFERROR(__xludf.DUMMYFUNCTION("IMPORTRANGE(""https://docs.google.com/spreadsheets/d/11923uPwbBZFjjGgGUA6NLw09EwE0CqkOc4q9oUmW1yo/edit?usp=sharing"",""ลำปาง!I470"")"),0)</f>
        <v>0</v>
      </c>
      <c r="J575" s="207">
        <f ca="1">IFERROR(__xludf.DUMMYFUNCTION("IMPORTRANGE(""https://docs.google.com/spreadsheets/d/11923uPwbBZFjjGgGUA6NLw09EwE0CqkOc4q9oUmW1yo/edit?usp=sharing"",""ลำปาง!J470"")"),1)</f>
        <v>1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IFERROR(__xludf.DUMMYFUNCTION("IMPORTRANGE(""https://docs.google.com/spreadsheets/d/11923uPwbBZFjjGgGUA6NLw09EwE0CqkOc4q9oUmW1yo/edit?usp=sharing"",""ลำปาง!I471"")"),0)</f>
        <v>0</v>
      </c>
      <c r="J576" s="207">
        <f ca="1">IFERROR(__xludf.DUMMYFUNCTION("IMPORTRANGE(""https://docs.google.com/spreadsheets/d/11923uPwbBZFjjGgGUA6NLw09EwE0CqkOc4q9oUmW1yo/edit?usp=sharing"",""ลำปาง!J471"")"),48)</f>
        <v>48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IFERROR(__xludf.DUMMYFUNCTION("IMPORTRANGE(""https://docs.google.com/spreadsheets/d/11923uPwbBZFjjGgGUA6NLw09EwE0CqkOc4q9oUmW1yo/edit?usp=sharing"",""ลำปาง!I472"")"),0)</f>
        <v>0</v>
      </c>
      <c r="J577" s="198">
        <f ca="1">IFERROR(__xludf.DUMMYFUNCTION("IMPORTRANGE(""https://docs.google.com/spreadsheets/d/11923uPwbBZFjjGgGUA6NLw09EwE0CqkOc4q9oUmW1yo/edit?usp=sharing"",""ลำปาง!J472"")"),923)</f>
        <v>923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IFERROR(__xludf.DUMMYFUNCTION("IMPORTRANGE(""https://docs.google.com/spreadsheets/d/11923uPwbBZFjjGgGUA6NLw09EwE0CqkOc4q9oUmW1yo/edit?usp=sharing"",""ลำปาง!I473"")"),0)</f>
        <v>0</v>
      </c>
      <c r="J578" s="207">
        <f ca="1">IFERROR(__xludf.DUMMYFUNCTION("IMPORTRANGE(""https://docs.google.com/spreadsheets/d/11923uPwbBZFjjGgGUA6NLw09EwE0CqkOc4q9oUmW1yo/edit?usp=sharing"",""ลำปาง!J473"")"),0)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IFERROR(__xludf.DUMMYFUNCTION("IMPORTRANGE(""https://docs.google.com/spreadsheets/d/11923uPwbBZFjjGgGUA6NLw09EwE0CqkOc4q9oUmW1yo/edit?usp=sharing"",""ลำปาง!I474"")"),0)</f>
        <v>0</v>
      </c>
      <c r="J579" s="207">
        <f ca="1">IFERROR(__xludf.DUMMYFUNCTION("IMPORTRANGE(""https://docs.google.com/spreadsheets/d/11923uPwbBZFjjGgGUA6NLw09EwE0CqkOc4q9oUmW1yo/edit?usp=sharing"",""ลำปาง!J474"")"),0)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IFERROR(__xludf.DUMMYFUNCTION("IMPORTRANGE(""https://docs.google.com/spreadsheets/d/11923uPwbBZFjjGgGUA6NLw09EwE0CqkOc4q9oUmW1yo/edit?usp=sharing"",""ลำปาง!I475"")"),5)</f>
        <v>5</v>
      </c>
      <c r="J580" s="379">
        <f ca="1">IFERROR(__xludf.DUMMYFUNCTION("IMPORTRANGE(""https://docs.google.com/spreadsheets/d/11923uPwbBZFjjGgGUA6NLw09EwE0CqkOc4q9oUmW1yo/edit?usp=sharing"",""ลำปาง!J475"")"),4)</f>
        <v>4</v>
      </c>
      <c r="K580" s="380">
        <f ca="1">IF(I580&gt;0,J580*100/I580,0)</f>
        <v>80</v>
      </c>
      <c r="L580" s="381">
        <f ca="1">IFERROR(__xludf.DUMMYFUNCTION("IMPORTRANGE(""https://docs.google.com/spreadsheets/d/11923uPwbBZFjjGgGUA6NLw09EwE0CqkOc4q9oUmW1yo/edit?usp=sharing"",""ลำปาง!L475"")"),130655)</f>
        <v>130655</v>
      </c>
      <c r="M580" s="381"/>
      <c r="N580" s="381">
        <f ca="1">IFERROR(__xludf.DUMMYFUNCTION("IMPORTRANGE(""https://docs.google.com/spreadsheets/d/11923uPwbBZFjjGgGUA6NLw09EwE0CqkOc4q9oUmW1yo/edit?usp=sharing"",""ลำปาง!M475"")"),0)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IFERROR(__xludf.DUMMYFUNCTION("IMPORTRANGE(""https://docs.google.com/spreadsheets/d/11923uPwbBZFjjGgGUA6NLw09EwE0CqkOc4q9oUmW1yo/edit?usp=sharing"",""ลำปาง!L476"")"),0)</f>
        <v>0</v>
      </c>
      <c r="M581" s="172"/>
      <c r="N581" s="178">
        <f ca="1">IFERROR(__xludf.DUMMYFUNCTION("IMPORTRANGE(""https://docs.google.com/spreadsheets/d/11923uPwbBZFjjGgGUA6NLw09EwE0CqkOc4q9oUmW1yo/edit?usp=sharing"",""ลำปาง!M476"")"),0)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IFERROR(__xludf.DUMMYFUNCTION("IMPORTRANGE(""https://docs.google.com/spreadsheets/d/11923uPwbBZFjjGgGUA6NLw09EwE0CqkOc4q9oUmW1yo/edit?usp=sharing"",""ลำปาง!L477"")"),130655)</f>
        <v>130655</v>
      </c>
      <c r="M582" s="173"/>
      <c r="N582" s="178">
        <f ca="1">IFERROR(__xludf.DUMMYFUNCTION("IMPORTRANGE(""https://docs.google.com/spreadsheets/d/11923uPwbBZFjjGgGUA6NLw09EwE0CqkOc4q9oUmW1yo/edit?usp=sharing"",""ลำปาง!M477"")"),0)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IFERROR(__xludf.DUMMYFUNCTION("IMPORTRANGE(""https://docs.google.com/spreadsheets/d/11923uPwbBZFjjGgGUA6NLw09EwE0CqkOc4q9oUmW1yo/edit?usp=sharing"",""ลำปาง!L478"")"),0)</f>
        <v>0</v>
      </c>
      <c r="M583" s="178"/>
      <c r="N583" s="178">
        <f ca="1">IFERROR(__xludf.DUMMYFUNCTION("IMPORTRANGE(""https://docs.google.com/spreadsheets/d/11923uPwbBZFjjGgGUA6NLw09EwE0CqkOc4q9oUmW1yo/edit?usp=sharing"",""ลำปาง!M478"")"),0)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IFERROR(__xludf.DUMMYFUNCTION("IMPORTRANGE(""https://docs.google.com/spreadsheets/d/11923uPwbBZFjjGgGUA6NLw09EwE0CqkOc4q9oUmW1yo/edit?usp=sharing"",""ลำปาง!L479"")"),130655)</f>
        <v>130655</v>
      </c>
      <c r="M584" s="178"/>
      <c r="N584" s="178">
        <f ca="1">IFERROR(__xludf.DUMMYFUNCTION("IMPORTRANGE(""https://docs.google.com/spreadsheets/d/11923uPwbBZFjjGgGUA6NLw09EwE0CqkOc4q9oUmW1yo/edit?usp=sharing"",""ลำปาง!M479"")"),0)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IFERROR(__xludf.DUMMYFUNCTION("IMPORTRANGE(""https://docs.google.com/spreadsheets/d/11923uPwbBZFjjGgGUA6NLw09EwE0CqkOc4q9oUmW1yo/edit?usp=sharing"",""ลำปาง!M480"")"),0)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IFERROR(__xludf.DUMMYFUNCTION("IMPORTRANGE(""https://docs.google.com/spreadsheets/d/11923uPwbBZFjjGgGUA6NLw09EwE0CqkOc4q9oUmW1yo/edit?usp=sharing"",""ลำปาง!M481"")"),0)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IFERROR(__xludf.DUMMYFUNCTION("IMPORTRANGE(""https://docs.google.com/spreadsheets/d/11923uPwbBZFjjGgGUA6NLw09EwE0CqkOc4q9oUmW1yo/edit?usp=sharing"",""ลำปาง!M482"")"),0)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IFERROR(__xludf.DUMMYFUNCTION("IMPORTRANGE(""https://docs.google.com/spreadsheets/d/11923uPwbBZFjjGgGUA6NLw09EwE0CqkOc4q9oUmW1yo/edit?usp=sharing"",""ลำปาง!M483"")"),0)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IFERROR(__xludf.DUMMYFUNCTION("IMPORTRANGE(""https://docs.google.com/spreadsheets/d/11923uPwbBZFjjGgGUA6NLw09EwE0CqkOc4q9oUmW1yo/edit?usp=sharing"",""ลำปาง!I484"")"),5)</f>
        <v>5</v>
      </c>
      <c r="J589" s="197">
        <f ca="1">IFERROR(__xludf.DUMMYFUNCTION("IMPORTRANGE(""https://docs.google.com/spreadsheets/d/11923uPwbBZFjjGgGUA6NLw09EwE0CqkOc4q9oUmW1yo/edit?usp=sharing"",""ลำปาง!J484"")"),7)</f>
        <v>7</v>
      </c>
      <c r="K589" s="171">
        <f t="shared" ref="K589:K596" ca="1" si="125">IF(I589&gt;0,J589*100/I589,0)</f>
        <v>140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IFERROR(__xludf.DUMMYFUNCTION("IMPORTRANGE(""https://docs.google.com/spreadsheets/d/11923uPwbBZFjjGgGUA6NLw09EwE0CqkOc4q9oUmW1yo/edit?usp=sharing"",""ลำปาง!I485"")"),0)</f>
        <v>0</v>
      </c>
      <c r="J590" s="197">
        <f ca="1">IFERROR(__xludf.DUMMYFUNCTION("IMPORTRANGE(""https://docs.google.com/spreadsheets/d/11923uPwbBZFjjGgGUA6NLw09EwE0CqkOc4q9oUmW1yo/edit?usp=sharing"",""ลำปาง!J485"")"),4.37)</f>
        <v>4.37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IFERROR(__xludf.DUMMYFUNCTION("IMPORTRANGE(""https://docs.google.com/spreadsheets/d/11923uPwbBZFjjGgGUA6NLw09EwE0CqkOc4q9oUmW1yo/edit?usp=sharing"",""ลำปาง!I486"")"),5)</f>
        <v>5</v>
      </c>
      <c r="J591" s="197">
        <f ca="1">IFERROR(__xludf.DUMMYFUNCTION("IMPORTRANGE(""https://docs.google.com/spreadsheets/d/11923uPwbBZFjjGgGUA6NLw09EwE0CqkOc4q9oUmW1yo/edit?usp=sharing"",""ลำปาง!J486"")"),4)</f>
        <v>4</v>
      </c>
      <c r="K591" s="171">
        <f t="shared" ca="1" si="125"/>
        <v>80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IFERROR(__xludf.DUMMYFUNCTION("IMPORTRANGE(""https://docs.google.com/spreadsheets/d/11923uPwbBZFjjGgGUA6NLw09EwE0CqkOc4q9oUmW1yo/edit?usp=sharing"",""ลำปาง!I487"")"),0)</f>
        <v>0</v>
      </c>
      <c r="J592" s="197">
        <f ca="1">IFERROR(__xludf.DUMMYFUNCTION("IMPORTRANGE(""https://docs.google.com/spreadsheets/d/11923uPwbBZFjjGgGUA6NLw09EwE0CqkOc4q9oUmW1yo/edit?usp=sharing"",""ลำปาง!J487"")"),3.23)</f>
        <v>3.23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IFERROR(__xludf.DUMMYFUNCTION("IMPORTRANGE(""https://docs.google.com/spreadsheets/d/11923uPwbBZFjjGgGUA6NLw09EwE0CqkOc4q9oUmW1yo/edit?usp=sharing"",""ลำปาง!I488"")"),5)</f>
        <v>5</v>
      </c>
      <c r="J593" s="197">
        <f ca="1">IFERROR(__xludf.DUMMYFUNCTION("IMPORTRANGE(""https://docs.google.com/spreadsheets/d/11923uPwbBZFjjGgGUA6NLw09EwE0CqkOc4q9oUmW1yo/edit?usp=sharing"",""ลำปาง!J488"")"),0)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IFERROR(__xludf.DUMMYFUNCTION("IMPORTRANGE(""https://docs.google.com/spreadsheets/d/11923uPwbBZFjjGgGUA6NLw09EwE0CqkOc4q9oUmW1yo/edit?usp=sharing"",""ลำปาง!I489"")"),0)</f>
        <v>0</v>
      </c>
      <c r="J594" s="197">
        <f ca="1">IFERROR(__xludf.DUMMYFUNCTION("IMPORTRANGE(""https://docs.google.com/spreadsheets/d/11923uPwbBZFjjGgGUA6NLw09EwE0CqkOc4q9oUmW1yo/edit?usp=sharing"",""ลำปาง!J489"")"),0)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IFERROR(__xludf.DUMMYFUNCTION("IMPORTRANGE(""https://docs.google.com/spreadsheets/d/11923uPwbBZFjjGgGUA6NLw09EwE0CqkOc4q9oUmW1yo/edit?usp=sharing"",""ลำปาง!I490"")"),5)</f>
        <v>5</v>
      </c>
      <c r="J595" s="197">
        <f ca="1">IFERROR(__xludf.DUMMYFUNCTION("IMPORTRANGE(""https://docs.google.com/spreadsheets/d/11923uPwbBZFjjGgGUA6NLw09EwE0CqkOc4q9oUmW1yo/edit?usp=sharing"",""ลำปาง!J490"")"),4)</f>
        <v>4</v>
      </c>
      <c r="K595" s="171">
        <f t="shared" ca="1" si="125"/>
        <v>80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IFERROR(__xludf.DUMMYFUNCTION("IMPORTRANGE(""https://docs.google.com/spreadsheets/d/11923uPwbBZFjjGgGUA6NLw09EwE0CqkOc4q9oUmW1yo/edit?usp=sharing"",""ลำปาง!I491"")"),0)</f>
        <v>0</v>
      </c>
      <c r="J596" s="250">
        <f ca="1">IFERROR(__xludf.DUMMYFUNCTION("IMPORTRANGE(""https://docs.google.com/spreadsheets/d/11923uPwbBZFjjGgGUA6NLw09EwE0CqkOc4q9oUmW1yo/edit?usp=sharing"",""ลำปาง!J491"")"),3.23)</f>
        <v>3.23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IFERROR(__xludf.DUMMYFUNCTION("IMPORTRANGE(""https://docs.google.com/spreadsheets/d/11923uPwbBZFjjGgGUA6NLw09EwE0CqkOc4q9oUmW1yo/edit?usp=sharing"",""ลำปาง!I492"")"),100)</f>
        <v>100</v>
      </c>
      <c r="J597" s="495">
        <f ca="1">IFERROR(__xludf.DUMMYFUNCTION("IMPORTRANGE(""https://docs.google.com/spreadsheets/d/11923uPwbBZFjjGgGUA6NLw09EwE0CqkOc4q9oUmW1yo/edit?usp=sharing"",""ลำปาง!J492"")"),0)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IFERROR(__xludf.DUMMYFUNCTION("IMPORTRANGE(""https://docs.google.com/spreadsheets/d/11923uPwbBZFjjGgGUA6NLw09EwE0CqkOc4q9oUmW1yo/edit?usp=sharing"",""ลำปาง!L492"")"),8900)</f>
        <v>8900</v>
      </c>
      <c r="M597" s="420"/>
      <c r="N597" s="420">
        <f ca="1">IFERROR(__xludf.DUMMYFUNCTION("IMPORTRANGE(""https://docs.google.com/spreadsheets/d/11923uPwbBZFjjGgGUA6NLw09EwE0CqkOc4q9oUmW1yo/edit?usp=sharing"",""ลำปาง!M492"")"),3400)</f>
        <v>3400</v>
      </c>
      <c r="O597" s="420">
        <f t="shared" ref="O597:O601" ca="1" si="126">+IF(L597&gt;0,N597*100/L597,0)</f>
        <v>38.202247191011239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IFERROR(__xludf.DUMMYFUNCTION("IMPORTRANGE(""https://docs.google.com/spreadsheets/d/11923uPwbBZFjjGgGUA6NLw09EwE0CqkOc4q9oUmW1yo/edit?usp=sharing"",""ลำปาง!L493"")"),0)</f>
        <v>0</v>
      </c>
      <c r="M598" s="172"/>
      <c r="N598" s="178">
        <f ca="1">IFERROR(__xludf.DUMMYFUNCTION("IMPORTRANGE(""https://docs.google.com/spreadsheets/d/11923uPwbBZFjjGgGUA6NLw09EwE0CqkOc4q9oUmW1yo/edit?usp=sharing"",""ลำปาง!M493"")"),0)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IFERROR(__xludf.DUMMYFUNCTION("IMPORTRANGE(""https://docs.google.com/spreadsheets/d/11923uPwbBZFjjGgGUA6NLw09EwE0CqkOc4q9oUmW1yo/edit?usp=sharing"",""ลำปาง!L494"")"),8900)</f>
        <v>8900</v>
      </c>
      <c r="M599" s="173"/>
      <c r="N599" s="178">
        <f ca="1">IFERROR(__xludf.DUMMYFUNCTION("IMPORTRANGE(""https://docs.google.com/spreadsheets/d/11923uPwbBZFjjGgGUA6NLw09EwE0CqkOc4q9oUmW1yo/edit?usp=sharing"",""ลำปาง!M494"")"),3400)</f>
        <v>3400</v>
      </c>
      <c r="O599" s="178">
        <f t="shared" ca="1" si="126"/>
        <v>38.202247191011239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IFERROR(__xludf.DUMMYFUNCTION("IMPORTRANGE(""https://docs.google.com/spreadsheets/d/11923uPwbBZFjjGgGUA6NLw09EwE0CqkOc4q9oUmW1yo/edit?usp=sharing"",""ลำปาง!L495"")"),0)</f>
        <v>0</v>
      </c>
      <c r="M600" s="178"/>
      <c r="N600" s="178">
        <f ca="1">IFERROR(__xludf.DUMMYFUNCTION("IMPORTRANGE(""https://docs.google.com/spreadsheets/d/11923uPwbBZFjjGgGUA6NLw09EwE0CqkOc4q9oUmW1yo/edit?usp=sharing"",""ลำปาง!M495"")"),0)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IFERROR(__xludf.DUMMYFUNCTION("IMPORTRANGE(""https://docs.google.com/spreadsheets/d/11923uPwbBZFjjGgGUA6NLw09EwE0CqkOc4q9oUmW1yo/edit?usp=sharing"",""ลำปาง!L496"")"),8900)</f>
        <v>8900</v>
      </c>
      <c r="M601" s="178"/>
      <c r="N601" s="178">
        <f ca="1">IFERROR(__xludf.DUMMYFUNCTION("IMPORTRANGE(""https://docs.google.com/spreadsheets/d/11923uPwbBZFjjGgGUA6NLw09EwE0CqkOc4q9oUmW1yo/edit?usp=sharing"",""ลำปาง!M496"")"),3400)</f>
        <v>3400</v>
      </c>
      <c r="O601" s="178">
        <f t="shared" ca="1" si="126"/>
        <v>38.202247191011239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IFERROR(__xludf.DUMMYFUNCTION("IMPORTRANGE(""https://docs.google.com/spreadsheets/d/11923uPwbBZFjjGgGUA6NLw09EwE0CqkOc4q9oUmW1yo/edit?usp=sharing"",""ลำปาง!M497"")"),0)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IFERROR(__xludf.DUMMYFUNCTION("IMPORTRANGE(""https://docs.google.com/spreadsheets/d/11923uPwbBZFjjGgGUA6NLw09EwE0CqkOc4q9oUmW1yo/edit?usp=sharing"",""ลำปาง!M498"")"),0)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IFERROR(__xludf.DUMMYFUNCTION("IMPORTRANGE(""https://docs.google.com/spreadsheets/d/11923uPwbBZFjjGgGUA6NLw09EwE0CqkOc4q9oUmW1yo/edit?usp=sharing"",""ลำปาง!M499"")"),0)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IFERROR(__xludf.DUMMYFUNCTION("IMPORTRANGE(""https://docs.google.com/spreadsheets/d/11923uPwbBZFjjGgGUA6NLw09EwE0CqkOc4q9oUmW1yo/edit?usp=sharing"",""ลำปาง!M500"")"),3400)</f>
        <v>3400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IFERROR(__xludf.DUMMYFUNCTION("IMPORTRANGE(""https://docs.google.com/spreadsheets/d/11923uPwbBZFjjGgGUA6NLw09EwE0CqkOc4q9oUmW1yo/edit?usp=sharing"",""ลำปาง!J502"")"),0)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IFERROR(__xludf.DUMMYFUNCTION("IMPORTRANGE(""https://docs.google.com/spreadsheets/d/11923uPwbBZFjjGgGUA6NLw09EwE0CqkOc4q9oUmW1yo/edit?usp=sharing"",""ลำปาง!J503"")"),1)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IFERROR(__xludf.DUMMYFUNCTION("IMPORTRANGE(""https://docs.google.com/spreadsheets/d/11923uPwbBZFjjGgGUA6NLw09EwE0CqkOc4q9oUmW1yo/edit?usp=sharing"",""ลำปาง!J166"")"),0)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IFERROR(__xludf.DUMMYFUNCTION("IMPORTRANGE(""https://docs.google.com/spreadsheets/d/11923uPwbBZFjjGgGUA6NLw09EwE0CqkOc4q9oUmW1yo/edit?usp=sharing"",""ลำปาง!J166"")"),0)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IFERROR(__xludf.DUMMYFUNCTION("IMPORTRANGE(""https://docs.google.com/spreadsheets/d/11923uPwbBZFjjGgGUA6NLw09EwE0CqkOc4q9oUmW1yo/edit?usp=sharing"",""ลำปาง!I506"")"),100)</f>
        <v>100</v>
      </c>
      <c r="J611" s="170">
        <f ca="1">IFERROR(__xludf.DUMMYFUNCTION("IMPORTRANGE(""https://docs.google.com/spreadsheets/d/11923uPwbBZFjjGgGUA6NLw09EwE0CqkOc4q9oUmW1yo/edit?usp=sharing"",""ลำปาง!J506"")"),0)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IFERROR(__xludf.DUMMYFUNCTION("IMPORTRANGE(""https://docs.google.com/spreadsheets/d/11923uPwbBZFjjGgGUA6NLw09EwE0CqkOc4q9oUmW1yo/edit?usp=sharing"",""ลำปาง!I507"")"),0)</f>
        <v>0</v>
      </c>
      <c r="J612" s="207">
        <f ca="1">IFERROR(__xludf.DUMMYFUNCTION("IMPORTRANGE(""https://docs.google.com/spreadsheets/d/11923uPwbBZFjjGgGUA6NLw09EwE0CqkOc4q9oUmW1yo/edit?usp=sharing"",""ลำปาง!J507"")"),0)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IFERROR(__xludf.DUMMYFUNCTION("IMPORTRANGE(""https://docs.google.com/spreadsheets/d/11923uPwbBZFjjGgGUA6NLw09EwE0CqkOc4q9oUmW1yo/edit?usp=sharing"",""ลำปาง!I508"")"),0)</f>
        <v>0</v>
      </c>
      <c r="J613" s="207">
        <f ca="1">IFERROR(__xludf.DUMMYFUNCTION("IMPORTRANGE(""https://docs.google.com/spreadsheets/d/11923uPwbBZFjjGgGUA6NLw09EwE0CqkOc4q9oUmW1yo/edit?usp=sharing"",""ลำปาง!J508"")"),0)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IFERROR(__xludf.DUMMYFUNCTION("IMPORTRANGE(""https://docs.google.com/spreadsheets/d/11923uPwbBZFjjGgGUA6NLw09EwE0CqkOc4q9oUmW1yo/edit?usp=sharing"",""ลำปาง!I509"")"),0)</f>
        <v>0</v>
      </c>
      <c r="J614" s="207">
        <f ca="1">IFERROR(__xludf.DUMMYFUNCTION("IMPORTRANGE(""https://docs.google.com/spreadsheets/d/11923uPwbBZFjjGgGUA6NLw09EwE0CqkOc4q9oUmW1yo/edit?usp=sharing"",""ลำปาง!J509"")"),0)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IFERROR(__xludf.DUMMYFUNCTION("IMPORTRANGE(""https://docs.google.com/spreadsheets/d/11923uPwbBZFjjGgGUA6NLw09EwE0CqkOc4q9oUmW1yo/edit?usp=sharing"",""ลำปาง!I510"")"),0)</f>
        <v>0</v>
      </c>
      <c r="J615" s="207">
        <f ca="1">IFERROR(__xludf.DUMMYFUNCTION("IMPORTRANGE(""https://docs.google.com/spreadsheets/d/11923uPwbBZFjjGgGUA6NLw09EwE0CqkOc4q9oUmW1yo/edit?usp=sharing"",""ลำปาง!J510"")"),0)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IFERROR(__xludf.DUMMYFUNCTION("IMPORTRANGE(""https://docs.google.com/spreadsheets/d/11923uPwbBZFjjGgGUA6NLw09EwE0CqkOc4q9oUmW1yo/edit?usp=sharing"",""ลำปาง!I511"")"),0)</f>
        <v>0</v>
      </c>
      <c r="J616" s="207">
        <f ca="1">IFERROR(__xludf.DUMMYFUNCTION("IMPORTRANGE(""https://docs.google.com/spreadsheets/d/11923uPwbBZFjjGgGUA6NLw09EwE0CqkOc4q9oUmW1yo/edit?usp=sharing"",""ลำปาง!J511"")"),0)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IFERROR(__xludf.DUMMYFUNCTION("IMPORTRANGE(""https://docs.google.com/spreadsheets/d/11923uPwbBZFjjGgGUA6NLw09EwE0CqkOc4q9oUmW1yo/edit?usp=sharing"",""ลำปาง!I512"")"),0)</f>
        <v>0</v>
      </c>
      <c r="J617" s="197">
        <f ca="1">IFERROR(__xludf.DUMMYFUNCTION("IMPORTRANGE(""https://docs.google.com/spreadsheets/d/11923uPwbBZFjjGgGUA6NLw09EwE0CqkOc4q9oUmW1yo/edit?usp=sharing"",""ลำปาง!J512"")"),0)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IFERROR(__xludf.DUMMYFUNCTION("IMPORTRANGE(""https://docs.google.com/spreadsheets/d/11923uPwbBZFjjGgGUA6NLw09EwE0CqkOc4q9oUmW1yo/edit?usp=sharing"",""ลำปาง!I513"")"),0)</f>
        <v>0</v>
      </c>
      <c r="J618" s="198">
        <f ca="1">IFERROR(__xludf.DUMMYFUNCTION("IMPORTRANGE(""https://docs.google.com/spreadsheets/d/11923uPwbBZFjjGgGUA6NLw09EwE0CqkOc4q9oUmW1yo/edit?usp=sharing"",""ลำปาง!J513"")"),0)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IFERROR(__xludf.DUMMYFUNCTION("IMPORTRANGE(""https://docs.google.com/spreadsheets/d/11923uPwbBZFjjGgGUA6NLw09EwE0CqkOc4q9oUmW1yo/edit?usp=sharing"",""ลำปาง!I514"")"),0)</f>
        <v>0</v>
      </c>
      <c r="J619" s="198">
        <f ca="1">IFERROR(__xludf.DUMMYFUNCTION("IMPORTRANGE(""https://docs.google.com/spreadsheets/d/11923uPwbBZFjjGgGUA6NLw09EwE0CqkOc4q9oUmW1yo/edit?usp=sharing"",""ลำปาง!J514"")"),0)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IFERROR(__xludf.DUMMYFUNCTION("IMPORTRANGE(""https://docs.google.com/spreadsheets/d/11923uPwbBZFjjGgGUA6NLw09EwE0CqkOc4q9oUmW1yo/edit?usp=sharing"",""ลำปาง!I515"")"),0)</f>
        <v>0</v>
      </c>
      <c r="J620" s="212">
        <f ca="1">IFERROR(__xludf.DUMMYFUNCTION("IMPORTRANGE(""https://docs.google.com/spreadsheets/d/11923uPwbBZFjjGgGUA6NLw09EwE0CqkOc4q9oUmW1yo/edit?usp=sharing"",""ลำปาง!J515"")"),0)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IFERROR(__xludf.DUMMYFUNCTION("IMPORTRANGE(""https://docs.google.com/spreadsheets/d/11923uPwbBZFjjGgGUA6NLw09EwE0CqkOc4q9oUmW1yo/edit?usp=sharing"",""ลำปาง!I516"")"),0)</f>
        <v>0</v>
      </c>
      <c r="J621" s="212">
        <f ca="1">IFERROR(__xludf.DUMMYFUNCTION("IMPORTRANGE(""https://docs.google.com/spreadsheets/d/11923uPwbBZFjjGgGUA6NLw09EwE0CqkOc4q9oUmW1yo/edit?usp=sharing"",""ลำปาง!J516"")"),0)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IFERROR(__xludf.DUMMYFUNCTION("IMPORTRANGE(""https://docs.google.com/spreadsheets/d/11923uPwbBZFjjGgGUA6NLw09EwE0CqkOc4q9oUmW1yo/edit?usp=sharing"",""ลำปาง!I517"")"),0)</f>
        <v>0</v>
      </c>
      <c r="J622" s="198">
        <f ca="1">IFERROR(__xludf.DUMMYFUNCTION("IMPORTRANGE(""https://docs.google.com/spreadsheets/d/11923uPwbBZFjjGgGUA6NLw09EwE0CqkOc4q9oUmW1yo/edit?usp=sharing"",""ลำปาง!J517"")"),0)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IFERROR(__xludf.DUMMYFUNCTION("IMPORTRANGE(""https://docs.google.com/spreadsheets/d/11923uPwbBZFjjGgGUA6NLw09EwE0CqkOc4q9oUmW1yo/edit?usp=sharing"",""ลำปาง!I518"")"),0)</f>
        <v>0</v>
      </c>
      <c r="J623" s="198">
        <f ca="1">IFERROR(__xludf.DUMMYFUNCTION("IMPORTRANGE(""https://docs.google.com/spreadsheets/d/11923uPwbBZFjjGgGUA6NLw09EwE0CqkOc4q9oUmW1yo/edit?usp=sharing"",""ลำปาง!J518"")"),0)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IFERROR(__xludf.DUMMYFUNCTION("IMPORTRANGE(""https://docs.google.com/spreadsheets/d/11923uPwbBZFjjGgGUA6NLw09EwE0CqkOc4q9oUmW1yo/edit?usp=sharing"",""ลำปาง!I519"")"),0)</f>
        <v>0</v>
      </c>
      <c r="J624" s="197">
        <f ca="1">IFERROR(__xludf.DUMMYFUNCTION("IMPORTRANGE(""https://docs.google.com/spreadsheets/d/11923uPwbBZFjjGgGUA6NLw09EwE0CqkOc4q9oUmW1yo/edit?usp=sharing"",""ลำปาง!J519"")"),0)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IFERROR(__xludf.DUMMYFUNCTION("IMPORTRANGE(""https://docs.google.com/spreadsheets/d/11923uPwbBZFjjGgGUA6NLw09EwE0CqkOc4q9oUmW1yo/edit?usp=sharing"",""ลำปาง!I520"")"),0)</f>
        <v>0</v>
      </c>
      <c r="J625" s="198">
        <f ca="1">IFERROR(__xludf.DUMMYFUNCTION("IMPORTRANGE(""https://docs.google.com/spreadsheets/d/11923uPwbBZFjjGgGUA6NLw09EwE0CqkOc4q9oUmW1yo/edit?usp=sharing"",""ลำปาง!J520"")"),0)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IFERROR(__xludf.DUMMYFUNCTION("IMPORTRANGE(""https://docs.google.com/spreadsheets/d/11923uPwbBZFjjGgGUA6NLw09EwE0CqkOc4q9oUmW1yo/edit?usp=sharing"",""ลำปาง!I521"")"),0)</f>
        <v>0</v>
      </c>
      <c r="J626" s="198">
        <f ca="1">IFERROR(__xludf.DUMMYFUNCTION("IMPORTRANGE(""https://docs.google.com/spreadsheets/d/11923uPwbBZFjjGgGUA6NLw09EwE0CqkOc4q9oUmW1yo/edit?usp=sharing"",""ลำปาง!J521"")"),0)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49">
        <f ca="1">IFERROR(__xludf.DUMMYFUNCTION("IMPORTRANGE(""https://docs.google.com/spreadsheets/d/11923uPwbBZFjjGgGUA6NLw09EwE0CqkOc4q9oUmW1yo/edit?usp=sharing"",""ลำปาง!J523"")"),1459056.73)</f>
        <v>1459056.73</v>
      </c>
      <c r="K628" s="350">
        <f t="shared" ref="K628:K635" ca="1" si="129">IF(I628&gt;0,J628*100/I628,0)</f>
        <v>18.146166483524574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IFERROR(__xludf.DUMMYFUNCTION("IMPORTRANGE(""https://docs.google.com/spreadsheets/d/11923uPwbBZFjjGgGUA6NLw09EwE0CqkOc4q9oUmW1yo/edit?usp=sharing"",""ลำปาง!I524"")"),318)</f>
        <v>318</v>
      </c>
      <c r="J629" s="349">
        <f ca="1">IFERROR(__xludf.DUMMYFUNCTION("IMPORTRANGE(""https://docs.google.com/spreadsheets/d/11923uPwbBZFjjGgGUA6NLw09EwE0CqkOc4q9oUmW1yo/edit?usp=sharing"",""ลำปาง!J524"")"),68)</f>
        <v>68</v>
      </c>
      <c r="K629" s="350">
        <f t="shared" ca="1" si="129"/>
        <v>21.383647798742139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IFERROR(__xludf.DUMMYFUNCTION("IMPORTRANGE(""https://docs.google.com/spreadsheets/d/11923uPwbBZFjjGgGUA6NLw09EwE0CqkOc4q9oUmW1yo/edit?usp=sharing"",""ลำปาง!I525"")"),17310.57)</f>
        <v>17310.57</v>
      </c>
      <c r="J630" s="349">
        <f ca="1">IFERROR(__xludf.DUMMYFUNCTION("IMPORTRANGE(""https://docs.google.com/spreadsheets/d/11923uPwbBZFjjGgGUA6NLw09EwE0CqkOc4q9oUmW1yo/edit?usp=sharing"",""ลำปาง!J525"")"),857.71)</f>
        <v>857.71</v>
      </c>
      <c r="K630" s="350">
        <f t="shared" ca="1" si="129"/>
        <v>4.9548339540523507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IFERROR(__xludf.DUMMYFUNCTION("IMPORTRANGE(""https://docs.google.com/spreadsheets/d/11923uPwbBZFjjGgGUA6NLw09EwE0CqkOc4q9oUmW1yo/edit?usp=sharing"",""ลำปาง!I526"")"),1)</f>
        <v>1</v>
      </c>
      <c r="J631" s="349">
        <f ca="1">IFERROR(__xludf.DUMMYFUNCTION("IMPORTRANGE(""https://docs.google.com/spreadsheets/d/11923uPwbBZFjjGgGUA6NLw09EwE0CqkOc4q9oUmW1yo/edit?usp=sharing"",""ลำปาง!J526"")"),1)</f>
        <v>1</v>
      </c>
      <c r="K631" s="350">
        <f t="shared" ca="1" si="129"/>
        <v>100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IFERROR(__xludf.DUMMYFUNCTION("IMPORTRANGE(""https://docs.google.com/spreadsheets/d/11923uPwbBZFjjGgGUA6NLw09EwE0CqkOc4q9oUmW1yo/edit?usp=sharing"",""ลำปาง!I527"")"),0)</f>
        <v>0</v>
      </c>
      <c r="J632" s="349">
        <f ca="1">IFERROR(__xludf.DUMMYFUNCTION("IMPORTRANGE(""https://docs.google.com/spreadsheets/d/11923uPwbBZFjjGgGUA6NLw09EwE0CqkOc4q9oUmW1yo/edit?usp=sharing"",""ลำปาง!J527"")"),0)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IFERROR(__xludf.DUMMYFUNCTION("IMPORTRANGE(""https://docs.google.com/spreadsheets/d/11923uPwbBZFjjGgGUA6NLw09EwE0CqkOc4q9oUmW1yo/edit?usp=sharing"",""ลำปาง!I528"")"),0)</f>
        <v>0</v>
      </c>
      <c r="J633" s="349">
        <f ca="1">IFERROR(__xludf.DUMMYFUNCTION("IMPORTRANGE(""https://docs.google.com/spreadsheets/d/11923uPwbBZFjjGgGUA6NLw09EwE0CqkOc4q9oUmW1yo/edit?usp=sharing"",""ลำปาง!J528"")"),0)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IFERROR(__xludf.DUMMYFUNCTION("IMPORTRANGE(""https://docs.google.com/spreadsheets/d/11923uPwbBZFjjGgGUA6NLw09EwE0CqkOc4q9oUmW1yo/edit?usp=sharing"",""ลำปาง!I529"")"),6665000)</f>
        <v>6665000</v>
      </c>
      <c r="J634" s="349">
        <f ca="1">IFERROR(__xludf.DUMMYFUNCTION("IMPORTRANGE(""https://docs.google.com/spreadsheets/d/11923uPwbBZFjjGgGUA6NLw09EwE0CqkOc4q9oUmW1yo/edit?usp=sharing"",""ลำปาง!J529"")"),0)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IFERROR(__xludf.DUMMYFUNCTION("IMPORTRANGE(""https://docs.google.com/spreadsheets/d/11923uPwbBZFjjGgGUA6NLw09EwE0CqkOc4q9oUmW1yo/edit?usp=sharing"",""ลำปาง!I530"")"),173)</f>
        <v>173</v>
      </c>
      <c r="J635" s="519">
        <f ca="1">IFERROR(__xludf.DUMMYFUNCTION("IMPORTRANGE(""https://docs.google.com/spreadsheets/d/11923uPwbBZFjjGgGUA6NLw09EwE0CqkOc4q9oUmW1yo/edit?usp=sharing"",""ลำปาง!J530"")"),0)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9" sqref="J9"/>
      <selection pane="bottomLeft" activeCell="J9" sqref="J9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8.83203125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264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6579655</v>
      </c>
      <c r="M8" s="25">
        <f t="shared" ca="1" si="0"/>
        <v>2198325</v>
      </c>
      <c r="N8" s="25">
        <f t="shared" ca="1" si="0"/>
        <v>2368420</v>
      </c>
      <c r="O8" s="24">
        <f t="shared" ref="O8:O16" ca="1" si="1">IF(L8&gt;0,N8*100/L8,0)</f>
        <v>35.99611225816551</v>
      </c>
      <c r="P8" s="24">
        <f t="shared" ref="P8:P16" ca="1" si="2">IF(M8&gt;0,N8*100/M8,0)</f>
        <v>107.73748194648198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6579655</v>
      </c>
      <c r="M10" s="32">
        <f t="shared" ca="1" si="4"/>
        <v>2198325</v>
      </c>
      <c r="N10" s="32">
        <f t="shared" ca="1" si="4"/>
        <v>2368420</v>
      </c>
      <c r="O10" s="31">
        <f t="shared" ca="1" si="1"/>
        <v>35.99611225816551</v>
      </c>
      <c r="P10" s="31">
        <f t="shared" ca="1" si="2"/>
        <v>107.73748194648198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6330255</v>
      </c>
      <c r="M12" s="40">
        <f t="shared" ca="1" si="6"/>
        <v>2198325</v>
      </c>
      <c r="N12" s="40">
        <f t="shared" ca="1" si="6"/>
        <v>2119020</v>
      </c>
      <c r="O12" s="40">
        <f t="shared" ca="1" si="1"/>
        <v>33.474480885841089</v>
      </c>
      <c r="P12" s="40">
        <f t="shared" ca="1" si="2"/>
        <v>96.392480638668076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2233700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4096555</v>
      </c>
      <c r="M14" s="40">
        <f t="shared" si="8"/>
        <v>0</v>
      </c>
      <c r="N14" s="40">
        <f t="shared" ca="1" si="8"/>
        <v>511389</v>
      </c>
      <c r="O14" s="43">
        <f t="shared" ca="1" si="1"/>
        <v>12.483391532641452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249400</v>
      </c>
      <c r="M16" s="40">
        <f t="shared" si="10"/>
        <v>0</v>
      </c>
      <c r="N16" s="40">
        <f t="shared" ca="1" si="10"/>
        <v>249400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4195545</v>
      </c>
      <c r="M18" s="25">
        <f t="shared" ca="1" si="11"/>
        <v>2198325</v>
      </c>
      <c r="N18" s="25">
        <f t="shared" ca="1" si="11"/>
        <v>1857031</v>
      </c>
      <c r="O18" s="24">
        <f t="shared" ref="O18:O20" ca="1" si="12">IF(L18&gt;0,N18*100/L18,0)</f>
        <v>44.261973116722622</v>
      </c>
      <c r="P18" s="24">
        <f t="shared" ref="P18:P26" ca="1" si="13">IF(M18&gt;0,N18*100/M18,0)</f>
        <v>84.474816053131363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4195545</v>
      </c>
      <c r="M20" s="32">
        <f t="shared" ca="1" si="15"/>
        <v>2198325</v>
      </c>
      <c r="N20" s="32">
        <f t="shared" ca="1" si="15"/>
        <v>1857031</v>
      </c>
      <c r="O20" s="31">
        <f t="shared" ca="1" si="12"/>
        <v>44.261973116722622</v>
      </c>
      <c r="P20" s="31">
        <f t="shared" ca="1" si="13"/>
        <v>84.474816053131363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3946145</v>
      </c>
      <c r="M22" s="44">
        <f t="shared" ca="1" si="18"/>
        <v>2198325</v>
      </c>
      <c r="N22" s="43">
        <f t="shared" ca="1" si="18"/>
        <v>1607631</v>
      </c>
      <c r="O22" s="43">
        <f t="shared" ca="1" si="17"/>
        <v>40.739278460370819</v>
      </c>
      <c r="P22" s="43">
        <f t="shared" ca="1" si="13"/>
        <v>73.129814745317461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2233700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1712445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249400</v>
      </c>
      <c r="M26" s="52">
        <f t="shared" si="22"/>
        <v>0</v>
      </c>
      <c r="N26" s="52">
        <f t="shared" ca="1" si="22"/>
        <v>249400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2384110</v>
      </c>
      <c r="M28" s="25">
        <f t="shared" si="23"/>
        <v>0</v>
      </c>
      <c r="N28" s="25">
        <f t="shared" ca="1" si="23"/>
        <v>511389</v>
      </c>
      <c r="O28" s="24">
        <f t="shared" ref="O28:O30" ca="1" si="24">IF(L28&gt;0,N28*100/L28,0)</f>
        <v>21.4498911543511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2384110</v>
      </c>
      <c r="M30" s="32">
        <f t="shared" si="27"/>
        <v>0</v>
      </c>
      <c r="N30" s="32">
        <f t="shared" ca="1" si="27"/>
        <v>511389</v>
      </c>
      <c r="O30" s="31">
        <f t="shared" ca="1" si="24"/>
        <v>21.4498911543511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2384110</v>
      </c>
      <c r="M32" s="43">
        <f t="shared" si="30"/>
        <v>0</v>
      </c>
      <c r="N32" s="43">
        <f t="shared" ca="1" si="30"/>
        <v>511389</v>
      </c>
      <c r="O32" s="43">
        <f t="shared" ca="1" si="29"/>
        <v>21.4498911543511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2384110</v>
      </c>
      <c r="M34" s="43">
        <f t="shared" si="32"/>
        <v>0</v>
      </c>
      <c r="N34" s="43">
        <f t="shared" ca="1" si="32"/>
        <v>511389</v>
      </c>
      <c r="O34" s="43">
        <f t="shared" ca="1" si="29"/>
        <v>21.4498911543511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4195545</v>
      </c>
      <c r="M37" s="57">
        <f t="shared" ca="1" si="33"/>
        <v>2198325</v>
      </c>
      <c r="N37" s="57">
        <f t="shared" ca="1" si="33"/>
        <v>1857031</v>
      </c>
      <c r="O37" s="58">
        <f t="shared" ca="1" si="29"/>
        <v>44.261973116722622</v>
      </c>
      <c r="P37" s="58">
        <f t="shared" ca="1" si="25"/>
        <v>84.474816053131363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758700</v>
      </c>
      <c r="M41" s="81">
        <f t="shared" ca="1" si="34"/>
        <v>379300</v>
      </c>
      <c r="N41" s="81">
        <f t="shared" ca="1" si="34"/>
        <v>349054</v>
      </c>
      <c r="O41" s="80">
        <f t="shared" ref="O41:O43" ca="1" si="35">IF(L41&gt;0,N41*100/L41,0)</f>
        <v>46.006853828917883</v>
      </c>
      <c r="P41" s="80">
        <f t="shared" ref="P41:P43" ca="1" si="36">IF(M41&gt;0,N41*100/M41,0)</f>
        <v>92.025837068283678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758700</v>
      </c>
      <c r="M43" s="81">
        <f t="shared" ca="1" si="38"/>
        <v>379300</v>
      </c>
      <c r="N43" s="81">
        <f t="shared" ca="1" si="38"/>
        <v>349054</v>
      </c>
      <c r="O43" s="80">
        <f t="shared" ca="1" si="35"/>
        <v>46.006853828917883</v>
      </c>
      <c r="P43" s="80">
        <f t="shared" ca="1" si="36"/>
        <v>92.025837068283678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758700</v>
      </c>
      <c r="M45" s="93">
        <f ca="1">IFERROR(__xludf.DUMMYFUNCTION("IMPORTRANGE(""https://docs.google.com/spreadsheets/d/1Yj_ptqi66GCucihVvJfMjLAmec39IyEx_6qawtMGysU/edit?usp=sharing"",""สบก!Q33"")"),379300)</f>
        <v>379300</v>
      </c>
      <c r="N45" s="93">
        <f ca="1">IFERROR(__xludf.DUMMYFUNCTION("IMPORTRANGE(""https://docs.google.com/spreadsheets/d/1Yj_ptqi66GCucihVvJfMjLAmec39IyEx_6qawtMGysU/edit?usp=sharing"",""สบก!R33"")"),349054)</f>
        <v>349054</v>
      </c>
      <c r="O45" s="94">
        <f ca="1">IF(L45&gt;0,N45*100/L45,0)</f>
        <v>46.006853828917883</v>
      </c>
      <c r="P45" s="94">
        <f ca="1">IF(M45&gt;0,N45*100/M45,0)</f>
        <v>92.025837068283678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IFERROR(__xludf.DUMMYFUNCTION("IMPORTRANGE(""https://docs.google.com/spreadsheets/d/1Yj_ptqi66GCucihVvJfMjLAmec39IyEx_6qawtMGysU/edit?usp=sharing"",""สบก!M33"")"),758700)</f>
        <v>758700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IFERROR(__xludf.DUMMYFUNCTION("IMPORTRANGE(""https://docs.google.com/spreadsheets/d/1Yj_ptqi66GCucihVvJfMjLAmec39IyEx_6qawtMGysU/edit?usp=sharing"",""สบก!N33"")"),0)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IFERROR(__xludf.DUMMYFUNCTION("IMPORTRANGE(""https://docs.google.com/spreadsheets/d/1Yj_ptqi66GCucihVvJfMjLAmec39IyEx_6qawtMGysU/edit?usp=sharing"",""สบก!O33"")"),0)</f>
        <v>0</v>
      </c>
      <c r="M49" s="103"/>
      <c r="N49" s="93">
        <f ca="1">IFERROR(__xludf.DUMMYFUNCTION("IMPORTRANGE(""https://docs.google.com/spreadsheets/d/1Yj_ptqi66GCucihVvJfMjLAmec39IyEx_6qawtMGysU/edit?usp=sharing"",""สบก!S33"")"),0)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600000</v>
      </c>
      <c r="M53" s="127">
        <f t="shared" ca="1" si="39"/>
        <v>322500</v>
      </c>
      <c r="N53" s="127">
        <f t="shared" ca="1" si="39"/>
        <v>246181</v>
      </c>
      <c r="O53" s="126">
        <f t="shared" ref="O53:O55" ca="1" si="40">IF(L53&gt;0,N53*100/L53,0)</f>
        <v>41.030166666666666</v>
      </c>
      <c r="P53" s="126">
        <f t="shared" ref="P53:P55" ca="1" si="41">IF(M53&gt;0,N53*100/M53,0)</f>
        <v>76.335193798449609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600000</v>
      </c>
      <c r="M55" s="127">
        <f t="shared" ca="1" si="43"/>
        <v>322500</v>
      </c>
      <c r="N55" s="127">
        <f t="shared" ca="1" si="43"/>
        <v>246181</v>
      </c>
      <c r="O55" s="126">
        <f t="shared" ca="1" si="40"/>
        <v>41.030166666666666</v>
      </c>
      <c r="P55" s="126">
        <f t="shared" ca="1" si="41"/>
        <v>76.335193798449609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600000</v>
      </c>
      <c r="M57" s="93">
        <f ca="1">IFERROR(__xludf.DUMMYFUNCTION("IMPORTRANGE(""https://docs.google.com/spreadsheets/d/1Yj_ptqi66GCucihVvJfMjLAmec39IyEx_6qawtMGysU/edit?usp=sharing"",""สบก!Z33"")"),322500)</f>
        <v>322500</v>
      </c>
      <c r="N57" s="93">
        <f ca="1">IFERROR(__xludf.DUMMYFUNCTION("IMPORTRANGE(""https://docs.google.com/spreadsheets/d/1Yj_ptqi66GCucihVvJfMjLAmec39IyEx_6qawtMGysU/edit?usp=sharing"",""สบก!AA33"")"),246181)</f>
        <v>246181</v>
      </c>
      <c r="O57" s="94">
        <f ca="1">IF(L57&gt;0,N57*100/L57,0)</f>
        <v>41.030166666666666</v>
      </c>
      <c r="P57" s="94">
        <f ca="1">IF(M57&gt;0,N57*100/M57,0)</f>
        <v>76.335193798449609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IFERROR(__xludf.DUMMYFUNCTION("IMPORTRANGE(""https://docs.google.com/spreadsheets/d/1Yj_ptqi66GCucihVvJfMjLAmec39IyEx_6qawtMGysU/edit?usp=sharing"",""สบก!V33"")"),600000)</f>
        <v>600000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IFERROR(__xludf.DUMMYFUNCTION("IMPORTRANGE(""https://docs.google.com/spreadsheets/d/1Yj_ptqi66GCucihVvJfMjLAmec39IyEx_6qawtMGysU/edit?usp=sharing"",""สบก!W33"")"),0)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IFERROR(__xludf.DUMMYFUNCTION("IMPORTRANGE(""https://docs.google.com/spreadsheets/d/1Yj_ptqi66GCucihVvJfMjLAmec39IyEx_6qawtMGysU/edit?usp=sharing"",""สบก!X33"")"),0)</f>
        <v>0</v>
      </c>
      <c r="M61" s="103"/>
      <c r="N61" s="93">
        <f ca="1">IFERROR(__xludf.DUMMYFUNCTION("IMPORTRANGE(""https://docs.google.com/spreadsheets/d/1Yj_ptqi66GCucihVvJfMjLAmec39IyEx_6qawtMGysU/edit?usp=sharing"",""สบก!AB33"")"),0)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IFERROR(__xludf.DUMMYFUNCTION("IMPORTRANGE(""https://docs.google.com/spreadsheets/d/11923uPwbBZFjjGgGUA6NLw09EwE0CqkOc4q9oUmW1yo/edit?usp=sharing"",""ลำพูน!I9"")"),1)</f>
        <v>1</v>
      </c>
      <c r="J64" s="148">
        <f ca="1">IFERROR(__xludf.DUMMYFUNCTION("IMPORTRANGE(""https://docs.google.com/spreadsheets/d/11923uPwbBZFjjGgGUA6NLw09EwE0CqkOc4q9oUmW1yo/edit?usp=sharing"",""ลำพูน!J9"")"),1)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IFERROR(__xludf.DUMMYFUNCTION("IMPORTRANGE(""https://docs.google.com/spreadsheets/d/11923uPwbBZFjjGgGUA6NLw09EwE0CqkOc4q9oUmW1yo/edit?usp=sharing"",""ลำพูน!I10"")"),35)</f>
        <v>35</v>
      </c>
      <c r="J65" s="148">
        <f ca="1">IFERROR(__xludf.DUMMYFUNCTION("IMPORTRANGE(""https://docs.google.com/spreadsheets/d/11923uPwbBZFjjGgGUA6NLw09EwE0CqkOc4q9oUmW1yo/edit?usp=sharing"",""ลำพูน!J10"")"),35)</f>
        <v>35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591400</v>
      </c>
      <c r="M66" s="158">
        <f t="shared" ca="1" si="45"/>
        <v>332320</v>
      </c>
      <c r="N66" s="158">
        <f t="shared" ca="1" si="45"/>
        <v>263129</v>
      </c>
      <c r="O66" s="157">
        <f t="shared" ref="O66:O68" ca="1" si="46">IF(L66&gt;0,N66*100/L66,0)</f>
        <v>44.492560027054445</v>
      </c>
      <c r="P66" s="157">
        <f t="shared" ref="P66:P68" ca="1" si="47">IF(M66&gt;0,N66*100/M66,0)</f>
        <v>79.17940539239288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591400</v>
      </c>
      <c r="M68" s="163">
        <f t="shared" ca="1" si="49"/>
        <v>332320</v>
      </c>
      <c r="N68" s="163">
        <f t="shared" ca="1" si="49"/>
        <v>263129</v>
      </c>
      <c r="O68" s="162">
        <f t="shared" ca="1" si="46"/>
        <v>44.492560027054445</v>
      </c>
      <c r="P68" s="162">
        <f t="shared" ca="1" si="47"/>
        <v>79.17940539239288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591400</v>
      </c>
      <c r="M70" s="176">
        <f ca="1">IFERROR(__xludf.DUMMYFUNCTION("IMPORTRANGE(""https://docs.google.com/spreadsheets/d/1Yj_ptqi66GCucihVvJfMjLAmec39IyEx_6qawtMGysU/edit?usp=sharing"",""สบก!AI33"")"),332320)</f>
        <v>332320</v>
      </c>
      <c r="N70" s="177">
        <f ca="1">IFERROR(__xludf.DUMMYFUNCTION("IMPORTRANGE(""https://docs.google.com/spreadsheets/d/1Yj_ptqi66GCucihVvJfMjLAmec39IyEx_6qawtMGysU/edit?usp=sharing"",""สบก!AJ33"")"),263129)</f>
        <v>263129</v>
      </c>
      <c r="O70" s="178">
        <f ca="1">IF(L70&gt;0,N70*100/L70,0)</f>
        <v>44.492560027054445</v>
      </c>
      <c r="P70" s="178">
        <f ca="1">IF(M70&gt;0,N70*100/M70,0)</f>
        <v>79.17940539239288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IFERROR(__xludf.DUMMYFUNCTION("IMPORTRANGE(""https://docs.google.com/spreadsheets/d/1Yj_ptqi66GCucihVvJfMjLAmec39IyEx_6qawtMGysU/edit?usp=sharing"",""สบก!AE33"")"),193400)</f>
        <v>193400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IFERROR(__xludf.DUMMYFUNCTION("IMPORTRANGE(""https://docs.google.com/spreadsheets/d/1Yj_ptqi66GCucihVvJfMjLAmec39IyEx_6qawtMGysU/edit?usp=sharing"",""สบก!AF33"")"),398000)</f>
        <v>398000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IFERROR(__xludf.DUMMYFUNCTION("IMPORTRANGE(""https://docs.google.com/spreadsheets/d/1Yj_ptqi66GCucihVvJfMjLAmec39IyEx_6qawtMGysU/edit?usp=sharing"",""สบก!AG33"")"),0)</f>
        <v>0</v>
      </c>
      <c r="M74" s="103"/>
      <c r="N74" s="93">
        <f ca="1">IFERROR(__xludf.DUMMYFUNCTION("IMPORTRANGE(""https://docs.google.com/spreadsheets/d/1Yj_ptqi66GCucihVvJfMjLAmec39IyEx_6qawtMGysU/edit?usp=sharing"",""สบก!AK33"")"),0)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IFERROR(__xludf.DUMMYFUNCTION("IMPORTRANGE(""https://docs.google.com/spreadsheets/d/11923uPwbBZFjjGgGUA6NLw09EwE0CqkOc4q9oUmW1yo/edit?usp=sharing"",""ลำพูน!J16"")"),0)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IFERROR(__xludf.DUMMYFUNCTION("IMPORTRANGE(""https://docs.google.com/spreadsheets/d/11923uPwbBZFjjGgGUA6NLw09EwE0CqkOc4q9oUmW1yo/edit?usp=sharing"",""ลำพูน!J17"")"),1)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IFERROR(__xludf.DUMMYFUNCTION("IMPORTRANGE(""https://docs.google.com/spreadsheets/d/11923uPwbBZFjjGgGUA6NLw09EwE0CqkOc4q9oUmW1yo/edit?usp=sharing"",""ลำพูน!J18"")"),1)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IFERROR(__xludf.DUMMYFUNCTION("IMPORTRANGE(""https://docs.google.com/spreadsheets/d/11923uPwbBZFjjGgGUA6NLw09EwE0CqkOc4q9oUmW1yo/edit?usp=sharing"",""ลำพูน!J19"")"),1)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IFERROR(__xludf.DUMMYFUNCTION("IMPORTRANGE(""https://docs.google.com/spreadsheets/d/11923uPwbBZFjjGgGUA6NLw09EwE0CqkOc4q9oUmW1yo/edit?usp=sharing"",""ลำพูน!I20"")"),1)</f>
        <v>1</v>
      </c>
      <c r="J80" s="210">
        <f ca="1">IFERROR(__xludf.DUMMYFUNCTION("IMPORTRANGE(""https://docs.google.com/spreadsheets/d/11923uPwbBZFjjGgGUA6NLw09EwE0CqkOc4q9oUmW1yo/edit?usp=sharing"",""ลำพูน!J20"")"),1)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IFERROR(__xludf.DUMMYFUNCTION("IMPORTRANGE(""https://docs.google.com/spreadsheets/d/11923uPwbBZFjjGgGUA6NLw09EwE0CqkOc4q9oUmW1yo/edit?usp=sharing"",""ลำพูน!I21"")"),35)</f>
        <v>35</v>
      </c>
      <c r="J81" s="210">
        <f ca="1">IFERROR(__xludf.DUMMYFUNCTION("IMPORTRANGE(""https://docs.google.com/spreadsheets/d/11923uPwbBZFjjGgGUA6NLw09EwE0CqkOc4q9oUmW1yo/edit?usp=sharing"",""ลำพูน!J21"")"),35)</f>
        <v>35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IFERROR(__xludf.DUMMYFUNCTION("IMPORTRANGE(""https://docs.google.com/spreadsheets/d/11923uPwbBZFjjGgGUA6NLw09EwE0CqkOc4q9oUmW1yo/edit?usp=sharing"",""ลำพูน!I22"")"),1)</f>
        <v>1</v>
      </c>
      <c r="J82" s="213">
        <f ca="1">IFERROR(__xludf.DUMMYFUNCTION("IMPORTRANGE(""https://docs.google.com/spreadsheets/d/11923uPwbBZFjjGgGUA6NLw09EwE0CqkOc4q9oUmW1yo/edit?usp=sharing"",""ลำพูน!J22"")"),1)</f>
        <v>1</v>
      </c>
      <c r="K82" s="171">
        <f t="shared" ca="1" si="50"/>
        <v>100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IFERROR(__xludf.DUMMYFUNCTION("IMPORTRANGE(""https://docs.google.com/spreadsheets/d/11923uPwbBZFjjGgGUA6NLw09EwE0CqkOc4q9oUmW1yo/edit?usp=sharing"",""ลำพูน!I23"")"),35)</f>
        <v>35</v>
      </c>
      <c r="J83" s="213">
        <f ca="1">IFERROR(__xludf.DUMMYFUNCTION("IMPORTRANGE(""https://docs.google.com/spreadsheets/d/11923uPwbBZFjjGgGUA6NLw09EwE0CqkOc4q9oUmW1yo/edit?usp=sharing"",""ลำพูน!J23"")"),35)</f>
        <v>35</v>
      </c>
      <c r="K83" s="171">
        <f t="shared" ca="1" si="50"/>
        <v>100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IFERROR(__xludf.DUMMYFUNCTION("IMPORTRANGE(""https://docs.google.com/spreadsheets/d/11923uPwbBZFjjGgGUA6NLw09EwE0CqkOc4q9oUmW1yo/edit?usp=sharing"",""ลำพูน!I24"")"),0)</f>
        <v>0</v>
      </c>
      <c r="J84" s="198">
        <f ca="1">IFERROR(__xludf.DUMMYFUNCTION("IMPORTRANGE(""https://docs.google.com/spreadsheets/d/11923uPwbBZFjjGgGUA6NLw09EwE0CqkOc4q9oUmW1yo/edit?usp=sharing"",""ลำพูน!J24"")"),0)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IFERROR(__xludf.DUMMYFUNCTION("IMPORTRANGE(""https://docs.google.com/spreadsheets/d/11923uPwbBZFjjGgGUA6NLw09EwE0CqkOc4q9oUmW1yo/edit?usp=sharing"",""ลำพูน!I25"")"),0)</f>
        <v>0</v>
      </c>
      <c r="J85" s="198">
        <f ca="1">IFERROR(__xludf.DUMMYFUNCTION("IMPORTRANGE(""https://docs.google.com/spreadsheets/d/11923uPwbBZFjjGgGUA6NLw09EwE0CqkOc4q9oUmW1yo/edit?usp=sharing"",""ลำพูน!J25"")"),0)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IFERROR(__xludf.DUMMYFUNCTION("IMPORTRANGE(""https://docs.google.com/spreadsheets/d/11923uPwbBZFjjGgGUA6NLw09EwE0CqkOc4q9oUmW1yo/edit?usp=sharing"",""ลำพูน!I26"")"),0)</f>
        <v>0</v>
      </c>
      <c r="J86" s="213">
        <f ca="1">IFERROR(__xludf.DUMMYFUNCTION("IMPORTRANGE(""https://docs.google.com/spreadsheets/d/11923uPwbBZFjjGgGUA6NLw09EwE0CqkOc4q9oUmW1yo/edit?usp=sharing"",""ลำพูน!J26"")"),0)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IFERROR(__xludf.DUMMYFUNCTION("IMPORTRANGE(""https://docs.google.com/spreadsheets/d/11923uPwbBZFjjGgGUA6NLw09EwE0CqkOc4q9oUmW1yo/edit?usp=sharing"",""ลำพูน!I27"")"),0)</f>
        <v>0</v>
      </c>
      <c r="J87" s="213">
        <f ca="1">IFERROR(__xludf.DUMMYFUNCTION("IMPORTRANGE(""https://docs.google.com/spreadsheets/d/11923uPwbBZFjjGgGUA6NLw09EwE0CqkOc4q9oUmW1yo/edit?usp=sharing"",""ลำพูน!J27"")"),0)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IFERROR(__xludf.DUMMYFUNCTION("IMPORTRANGE(""https://docs.google.com/spreadsheets/d/11923uPwbBZFjjGgGUA6NLw09EwE0CqkOc4q9oUmW1yo/edit?usp=sharing"",""ลำพูน!I28"")"),35)</f>
        <v>35</v>
      </c>
      <c r="J88" s="213">
        <f ca="1">IFERROR(__xludf.DUMMYFUNCTION("IMPORTRANGE(""https://docs.google.com/spreadsheets/d/11923uPwbBZFjjGgGUA6NLw09EwE0CqkOc4q9oUmW1yo/edit?usp=sharing"",""ลำพูน!J28"")"),0)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IFERROR(__xludf.DUMMYFUNCTION("IMPORTRANGE(""https://docs.google.com/spreadsheets/d/11923uPwbBZFjjGgGUA6NLw09EwE0CqkOc4q9oUmW1yo/edit?usp=sharing"",""ลำพูน!J29"")"),0)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IFERROR(__xludf.DUMMYFUNCTION("IMPORTRANGE(""https://docs.google.com/spreadsheets/d/11923uPwbBZFjjGgGUA6NLw09EwE0CqkOc4q9oUmW1yo/edit?usp=sharing"",""ลำพูน!J30"")"),0)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IFERROR(__xludf.DUMMYFUNCTION("IMPORTRANGE(""https://docs.google.com/spreadsheets/d/11923uPwbBZFjjGgGUA6NLw09EwE0CqkOc4q9oUmW1yo/edit?usp=sharing"",""ลำพูน!I32"")"),0)</f>
        <v>0</v>
      </c>
      <c r="J92" s="148">
        <f ca="1">IFERROR(__xludf.DUMMYFUNCTION("IMPORTRANGE(""https://docs.google.com/spreadsheets/d/11923uPwbBZFjjGgGUA6NLw09EwE0CqkOc4q9oUmW1yo/edit?usp=sharing"",""ลำพูน!J32"")"),0)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IFERROR(__xludf.DUMMYFUNCTION("IMPORTRANGE(""https://docs.google.com/spreadsheets/d/11923uPwbBZFjjGgGUA6NLw09EwE0CqkOc4q9oUmW1yo/edit?usp=sharing"",""ลำพูน!I33"")"),0)</f>
        <v>0</v>
      </c>
      <c r="J93" s="148">
        <f ca="1">IFERROR(__xludf.DUMMYFUNCTION("IMPORTRANGE(""https://docs.google.com/spreadsheets/d/11923uPwbBZFjjGgGUA6NLw09EwE0CqkOc4q9oUmW1yo/edit?usp=sharing"",""ลำพูน!J33"")"),0)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IFERROR(__xludf.DUMMYFUNCTION("IMPORTRANGE(""https://docs.google.com/spreadsheets/d/1Yj_ptqi66GCucihVvJfMjLAmec39IyEx_6qawtMGysU/edit?usp=sharing"",""สบก!AR33"")"),0)</f>
        <v>0</v>
      </c>
      <c r="N98" s="177">
        <f ca="1">IFERROR(__xludf.DUMMYFUNCTION("IMPORTRANGE(""https://docs.google.com/spreadsheets/d/1Yj_ptqi66GCucihVvJfMjLAmec39IyEx_6qawtMGysU/edit?usp=sharing"",""สบก!AS33"")"),0)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IFERROR(__xludf.DUMMYFUNCTION("IMPORTRANGE(""https://docs.google.com/spreadsheets/d/1Yj_ptqi66GCucihVvJfMjLAmec39IyEx_6qawtMGysU/edit?usp=sharing"",""สบก!AN33"")"),0)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IFERROR(__xludf.DUMMYFUNCTION("IMPORTRANGE(""https://docs.google.com/spreadsheets/d/1Yj_ptqi66GCucihVvJfMjLAmec39IyEx_6qawtMGysU/edit?usp=sharing"",""สบก!AO33"")"),0)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IFERROR(__xludf.DUMMYFUNCTION("IMPORTRANGE(""https://docs.google.com/spreadsheets/d/1Yj_ptqi66GCucihVvJfMjLAmec39IyEx_6qawtMGysU/edit?usp=sharing"",""สบก!AP33"")"),0)</f>
        <v>0</v>
      </c>
      <c r="M102" s="103"/>
      <c r="N102" s="93">
        <f ca="1">IFERROR(__xludf.DUMMYFUNCTION("IMPORTRANGE(""https://docs.google.com/spreadsheets/d/1Yj_ptqi66GCucihVvJfMjLAmec39IyEx_6qawtMGysU/edit?usp=sharing"",""สบก!AT33"")"),0)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IFERROR(__xludf.DUMMYFUNCTION("IMPORTRANGE(""https://docs.google.com/spreadsheets/d/11923uPwbBZFjjGgGUA6NLw09EwE0CqkOc4q9oUmW1yo/edit?usp=sharing"",""ลำพูน!J39"")"),0)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IFERROR(__xludf.DUMMYFUNCTION("IMPORTRANGE(""https://docs.google.com/spreadsheets/d/11923uPwbBZFjjGgGUA6NLw09EwE0CqkOc4q9oUmW1yo/edit?usp=sharing"",""ลำพูน!J40"")"),0)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IFERROR(__xludf.DUMMYFUNCTION("IMPORTRANGE(""https://docs.google.com/spreadsheets/d/11923uPwbBZFjjGgGUA6NLw09EwE0CqkOc4q9oUmW1yo/edit?usp=sharing"",""ลำพูน!J41"")"),0)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IFERROR(__xludf.DUMMYFUNCTION("IMPORTRANGE(""https://docs.google.com/spreadsheets/d/11923uPwbBZFjjGgGUA6NLw09EwE0CqkOc4q9oUmW1yo/edit?usp=sharing"",""ลำพูน!J42"")"),0)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IFERROR(__xludf.DUMMYFUNCTION("IMPORTRANGE(""https://docs.google.com/spreadsheets/d/11923uPwbBZFjjGgGUA6NLw09EwE0CqkOc4q9oUmW1yo/edit?usp=sharing"",""ลำพูน!I43"")"),0)</f>
        <v>0</v>
      </c>
      <c r="J108" s="213">
        <f ca="1">IFERROR(__xludf.DUMMYFUNCTION("IMPORTRANGE(""https://docs.google.com/spreadsheets/d/11923uPwbBZFjjGgGUA6NLw09EwE0CqkOc4q9oUmW1yo/edit?usp=sharing"",""ลำพูน!J43"")"),0)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IFERROR(__xludf.DUMMYFUNCTION("IMPORTRANGE(""https://docs.google.com/spreadsheets/d/11923uPwbBZFjjGgGUA6NLw09EwE0CqkOc4q9oUmW1yo/edit?usp=sharing"",""ลำพูน!I44"")"),0)</f>
        <v>0</v>
      </c>
      <c r="J109" s="213">
        <f ca="1">IFERROR(__xludf.DUMMYFUNCTION("IMPORTRANGE(""https://docs.google.com/spreadsheets/d/11923uPwbBZFjjGgGUA6NLw09EwE0CqkOc4q9oUmW1yo/edit?usp=sharing"",""ลำพูน!J44"")"),0)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IFERROR(__xludf.DUMMYFUNCTION("IMPORTRANGE(""https://docs.google.com/spreadsheets/d/11923uPwbBZFjjGgGUA6NLw09EwE0CqkOc4q9oUmW1yo/edit?usp=sharing"",""ลำพูน!I45"")"),0)</f>
        <v>0</v>
      </c>
      <c r="J110" s="213">
        <f ca="1">IFERROR(__xludf.DUMMYFUNCTION("IMPORTRANGE(""https://docs.google.com/spreadsheets/d/11923uPwbBZFjjGgGUA6NLw09EwE0CqkOc4q9oUmW1yo/edit?usp=sharing"",""ลำพูน!J45"")"),0)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IFERROR(__xludf.DUMMYFUNCTION("IMPORTRANGE(""https://docs.google.com/spreadsheets/d/11923uPwbBZFjjGgGUA6NLw09EwE0CqkOc4q9oUmW1yo/edit?usp=sharing"",""ลำพูน!I46"")"),0)</f>
        <v>0</v>
      </c>
      <c r="J111" s="213">
        <f ca="1">IFERROR(__xludf.DUMMYFUNCTION("IMPORTRANGE(""https://docs.google.com/spreadsheets/d/11923uPwbBZFjjGgGUA6NLw09EwE0CqkOc4q9oUmW1yo/edit?usp=sharing"",""ลำพูน!J46"")"),0)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IFERROR(__xludf.DUMMYFUNCTION("IMPORTRANGE(""https://docs.google.com/spreadsheets/d/11923uPwbBZFjjGgGUA6NLw09EwE0CqkOc4q9oUmW1yo/edit?usp=sharing"",""ลำพูน!I47"")"),0)</f>
        <v>0</v>
      </c>
      <c r="J112" s="213">
        <f ca="1">IFERROR(__xludf.DUMMYFUNCTION("IMPORTRANGE(""https://docs.google.com/spreadsheets/d/11923uPwbBZFjjGgGUA6NLw09EwE0CqkOc4q9oUmW1yo/edit?usp=sharing"",""ลำพูน!J47"")"),0)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IFERROR(__xludf.DUMMYFUNCTION("IMPORTRANGE(""https://docs.google.com/spreadsheets/d/11923uPwbBZFjjGgGUA6NLw09EwE0CqkOc4q9oUmW1yo/edit?usp=sharing"",""ลำพูน!I48"")"),0)</f>
        <v>0</v>
      </c>
      <c r="J113" s="213">
        <f ca="1">IFERROR(__xludf.DUMMYFUNCTION("IMPORTRANGE(""https://docs.google.com/spreadsheets/d/11923uPwbBZFjjGgGUA6NLw09EwE0CqkOc4q9oUmW1yo/edit?usp=sharing"",""ลำพูน!J48"")"),0)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IFERROR(__xludf.DUMMYFUNCTION("IMPORTRANGE(""https://docs.google.com/spreadsheets/d/11923uPwbBZFjjGgGUA6NLw09EwE0CqkOc4q9oUmW1yo/edit?usp=sharing"",""ลำพูน!J49"")"),0)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IFERROR(__xludf.DUMMYFUNCTION("IMPORTRANGE(""https://docs.google.com/spreadsheets/d/11923uPwbBZFjjGgGUA6NLw09EwE0CqkOc4q9oUmW1yo/edit?usp=sharing"",""ลำพูน!J50"")"),0)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IFERROR(__xludf.DUMMYFUNCTION("IMPORTRANGE(""https://docs.google.com/spreadsheets/d/11923uPwbBZFjjGgGUA6NLw09EwE0CqkOc4q9oUmW1yo/edit?usp=sharing"",""ลำพูน!I52"")"),20)</f>
        <v>20</v>
      </c>
      <c r="J117" s="148">
        <f ca="1">IFERROR(__xludf.DUMMYFUNCTION("IMPORTRANGE(""https://docs.google.com/spreadsheets/d/11923uPwbBZFjjGgGUA6NLw09EwE0CqkOc4q9oUmW1yo/edit?usp=sharing"",""ลำพูน!J52"")"),20)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54440</v>
      </c>
      <c r="O118" s="157">
        <f t="shared" ref="O118:O120" ca="1" si="59">IF(L118&gt;0,N118*100/L118,0)</f>
        <v>66.035904900533723</v>
      </c>
      <c r="P118" s="157">
        <f t="shared" ref="P118:P120" ca="1" si="60">IF(M118&gt;0,N118*100/M118,0)</f>
        <v>81.938591210114396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54440</v>
      </c>
      <c r="O120" s="162">
        <f t="shared" ca="1" si="59"/>
        <v>66.035904900533723</v>
      </c>
      <c r="P120" s="162">
        <f t="shared" ca="1" si="60"/>
        <v>81.938591210114396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IFERROR(__xludf.DUMMYFUNCTION("IMPORTRANGE(""https://docs.google.com/spreadsheets/d/1Yj_ptqi66GCucihVvJfMjLAmec39IyEx_6qawtMGysU/edit?usp=sharing"",""สบก!BA33"")"),66440)</f>
        <v>66440</v>
      </c>
      <c r="N122" s="177">
        <f ca="1">IFERROR(__xludf.DUMMYFUNCTION("IMPORTRANGE(""https://docs.google.com/spreadsheets/d/1Yj_ptqi66GCucihVvJfMjLAmec39IyEx_6qawtMGysU/edit?usp=sharing"",""สบก!BB33"")"),54440)</f>
        <v>54440</v>
      </c>
      <c r="O122" s="178">
        <f ca="1">IF(L122&gt;0,N122*100/L122,0)</f>
        <v>66.035904900533723</v>
      </c>
      <c r="P122" s="178">
        <f ca="1">IF(M122&gt;0,N122*100/M122,0)</f>
        <v>81.938591210114396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IFERROR(__xludf.DUMMYFUNCTION("IMPORTRANGE(""https://docs.google.com/spreadsheets/d/1Yj_ptqi66GCucihVvJfMjLAmec39IyEx_6qawtMGysU/edit?usp=sharing"",""สบก!AW33"")"),0)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IFERROR(__xludf.DUMMYFUNCTION("IMPORTRANGE(""https://docs.google.com/spreadsheets/d/1Yj_ptqi66GCucihVvJfMjLAmec39IyEx_6qawtMGysU/edit?usp=sharing"",""สบก!AX33"")"),82440)</f>
        <v>82440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IFERROR(__xludf.DUMMYFUNCTION("IMPORTRANGE(""https://docs.google.com/spreadsheets/d/1Yj_ptqi66GCucihVvJfMjLAmec39IyEx_6qawtMGysU/edit?usp=sharing"",""สบก!AY33"")"),0)</f>
        <v>0</v>
      </c>
      <c r="M126" s="103"/>
      <c r="N126" s="93">
        <f ca="1">IFERROR(__xludf.DUMMYFUNCTION("IMPORTRANGE(""https://docs.google.com/spreadsheets/d/1Yj_ptqi66GCucihVvJfMjLAmec39IyEx_6qawtMGysU/edit?usp=sharing"",""สบก!BC33"")"),0)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265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IFERROR(__xludf.DUMMYFUNCTION("IMPORTRANGE(""https://docs.google.com/spreadsheets/d/11923uPwbBZFjjGgGUA6NLw09EwE0CqkOc4q9oUmW1yo/edit?usp=sharing"",""ลำพูน!J58"")"),0)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IFERROR(__xludf.DUMMYFUNCTION("IMPORTRANGE(""https://docs.google.com/spreadsheets/d/11923uPwbBZFjjGgGUA6NLw09EwE0CqkOc4q9oUmW1yo/edit?usp=sharing"",""ลำพูน!J59"")"),1)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IFERROR(__xludf.DUMMYFUNCTION("IMPORTRANGE(""https://docs.google.com/spreadsheets/d/11923uPwbBZFjjGgGUA6NLw09EwE0CqkOc4q9oUmW1yo/edit?usp=sharing"",""ลำพูน!J60"")"),1)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IFERROR(__xludf.DUMMYFUNCTION("IMPORTRANGE(""https://docs.google.com/spreadsheets/d/11923uPwbBZFjjGgGUA6NLw09EwE0CqkOc4q9oUmW1yo/edit?usp=sharing"",""ลำพูน!J61"")"),1)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IFERROR(__xludf.DUMMYFUNCTION("IMPORTRANGE(""https://docs.google.com/spreadsheets/d/11923uPwbBZFjjGgGUA6NLw09EwE0CqkOc4q9oUmW1yo/edit?usp=sharing"",""ลำพูน!I62"")"),20)</f>
        <v>20</v>
      </c>
      <c r="J132" s="213">
        <f ca="1">IFERROR(__xludf.DUMMYFUNCTION("IMPORTRANGE(""https://docs.google.com/spreadsheets/d/11923uPwbBZFjjGgGUA6NLw09EwE0CqkOc4q9oUmW1yo/edit?usp=sharing"",""ลำพูน!J62"")"),20)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IFERROR(__xludf.DUMMYFUNCTION("IMPORTRANGE(""https://docs.google.com/spreadsheets/d/11923uPwbBZFjjGgGUA6NLw09EwE0CqkOc4q9oUmW1yo/edit?usp=sharing"",""ลำพูน!I63"")"),20)</f>
        <v>20</v>
      </c>
      <c r="J133" s="213">
        <f ca="1">IFERROR(__xludf.DUMMYFUNCTION("IMPORTRANGE(""https://docs.google.com/spreadsheets/d/11923uPwbBZFjjGgGUA6NLw09EwE0CqkOc4q9oUmW1yo/edit?usp=sharing"",""ลำพูน!J63"")"),0)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IFERROR(__xludf.DUMMYFUNCTION("IMPORTRANGE(""https://docs.google.com/spreadsheets/d/11923uPwbBZFjjGgGUA6NLw09EwE0CqkOc4q9oUmW1yo/edit?usp=sharing"",""ลำพูน!J64"")"),0)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IFERROR(__xludf.DUMMYFUNCTION("IMPORTRANGE(""https://docs.google.com/spreadsheets/d/11923uPwbBZFjjGgGUA6NLw09EwE0CqkOc4q9oUmW1yo/edit?usp=sharing"",""ลำพูน!J65"")"),0)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IFERROR(__xludf.DUMMYFUNCTION("IMPORTRANGE(""https://docs.google.com/spreadsheets/d/11923uPwbBZFjjGgGUA6NLw09EwE0CqkOc4q9oUmW1yo/edit?usp=sharing"",""ลำพูน!I68"")"),150)</f>
        <v>150</v>
      </c>
      <c r="J138" s="276">
        <f ca="1">IFERROR(__xludf.DUMMYFUNCTION("IMPORTRANGE(""https://docs.google.com/spreadsheets/d/11923uPwbBZFjjGgGUA6NLw09EwE0CqkOc4q9oUmW1yo/edit?usp=sharing"",""ลำพูน!J68"")"),135)</f>
        <v>135</v>
      </c>
      <c r="K138" s="277">
        <f ca="1">IF(I138&gt;0,J138*100/I138,0)</f>
        <v>90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1352900</v>
      </c>
      <c r="M140" s="158">
        <f t="shared" ca="1" si="64"/>
        <v>668950</v>
      </c>
      <c r="N140" s="158">
        <f t="shared" ca="1" si="64"/>
        <v>670817</v>
      </c>
      <c r="O140" s="157">
        <f t="shared" ref="O140:O142" ca="1" si="65">IF(L140&gt;0,N140*100/L140,0)</f>
        <v>49.583635154113388</v>
      </c>
      <c r="P140" s="157">
        <f t="shared" ref="P140:P142" ca="1" si="66">IF(M140&gt;0,N140*100/M140,0)</f>
        <v>100.27909410269825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1352900</v>
      </c>
      <c r="M142" s="163">
        <f t="shared" ca="1" si="68"/>
        <v>668950</v>
      </c>
      <c r="N142" s="163">
        <f t="shared" ca="1" si="68"/>
        <v>670817</v>
      </c>
      <c r="O142" s="162">
        <f t="shared" ca="1" si="65"/>
        <v>49.583635154113388</v>
      </c>
      <c r="P142" s="162">
        <f t="shared" ca="1" si="66"/>
        <v>100.27909410269825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1114900</v>
      </c>
      <c r="M144" s="176">
        <f ca="1">IFERROR(__xludf.DUMMYFUNCTION("IMPORTRANGE(""https://docs.google.com/spreadsheets/d/1Yj_ptqi66GCucihVvJfMjLAmec39IyEx_6qawtMGysU/edit?usp=sharing"",""สบก!BJ33"")"),668950)</f>
        <v>668950</v>
      </c>
      <c r="N144" s="177">
        <f ca="1">IFERROR(__xludf.DUMMYFUNCTION("IMPORTRANGE(""https://docs.google.com/spreadsheets/d/1Yj_ptqi66GCucihVvJfMjLAmec39IyEx_6qawtMGysU/edit?usp=sharing"",""สบก!BK33"")"),432817)</f>
        <v>432817</v>
      </c>
      <c r="O144" s="178">
        <f ca="1">IF(L144&gt;0,N144*100/L144,0)</f>
        <v>38.821149878912905</v>
      </c>
      <c r="P144" s="178">
        <f ca="1">IF(M144&gt;0,N144*100/M144,0)</f>
        <v>64.700949248822781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IFERROR(__xludf.DUMMYFUNCTION("IMPORTRANGE(""https://docs.google.com/spreadsheets/d/1Yj_ptqi66GCucihVvJfMjLAmec39IyEx_6qawtMGysU/edit?usp=sharing"",""สบก!BF33"")"),264000)</f>
        <v>264000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IFERROR(__xludf.DUMMYFUNCTION("IMPORTRANGE(""https://docs.google.com/spreadsheets/d/1Yj_ptqi66GCucihVvJfMjLAmec39IyEx_6qawtMGysU/edit?usp=sharing"",""สบก!BG33"")"),850900)</f>
        <v>850900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IFERROR(__xludf.DUMMYFUNCTION("IMPORTRANGE(""https://docs.google.com/spreadsheets/d/1Yj_ptqi66GCucihVvJfMjLAmec39IyEx_6qawtMGysU/edit?usp=sharing"",""สบก!BH33"")"),238000)</f>
        <v>238000</v>
      </c>
      <c r="M148" s="103"/>
      <c r="N148" s="93">
        <f ca="1">IFERROR(__xludf.DUMMYFUNCTION("IMPORTRANGE(""https://docs.google.com/spreadsheets/d/1Yj_ptqi66GCucihVvJfMjLAmec39IyEx_6qawtMGysU/edit?usp=sharing"",""สบก!BL33"")"),238000)</f>
        <v>238000</v>
      </c>
      <c r="O148" s="103">
        <f ca="1">IF(L148&gt;0,N148*100/L148,0)</f>
        <v>100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IFERROR(__xludf.DUMMYFUNCTION("IMPORTRANGE(""https://docs.google.com/spreadsheets/d/11923uPwbBZFjjGgGUA6NLw09EwE0CqkOc4q9oUmW1yo/edit?usp=sharing"",""ลำพูน!I74"")"),4)</f>
        <v>4</v>
      </c>
      <c r="J149" s="284">
        <f ca="1">IFERROR(__xludf.DUMMYFUNCTION("IMPORTRANGE(""https://docs.google.com/spreadsheets/d/11923uPwbBZFjjGgGUA6NLw09EwE0CqkOc4q9oUmW1yo/edit?usp=sharing"",""ลำพูน!J74"")"),1)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IFERROR(__xludf.DUMMYFUNCTION("IMPORTRANGE(""https://docs.google.com/spreadsheets/d/11923uPwbBZFjjGgGUA6NLw09EwE0CqkOc4q9oUmW1yo/edit?usp=sharing"",""ลำพูน!J79"")"),0)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IFERROR(__xludf.DUMMYFUNCTION("IMPORTRANGE(""https://docs.google.com/spreadsheets/d/11923uPwbBZFjjGgGUA6NLw09EwE0CqkOc4q9oUmW1yo/edit?usp=sharing"",""ลำพูน!J80"")"),1)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IFERROR(__xludf.DUMMYFUNCTION("IMPORTRANGE(""https://docs.google.com/spreadsheets/d/11923uPwbBZFjjGgGUA6NLw09EwE0CqkOc4q9oUmW1yo/edit?usp=sharing"",""ลำพูน!J81"")"),0)</f>
        <v>0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IFERROR(__xludf.DUMMYFUNCTION("IMPORTRANGE(""https://docs.google.com/spreadsheets/d/11923uPwbBZFjjGgGUA6NLw09EwE0CqkOc4q9oUmW1yo/edit?usp=sharing"",""ลำพูน!J82"")"),1)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IFERROR(__xludf.DUMMYFUNCTION("IMPORTRANGE(""https://docs.google.com/spreadsheets/d/11923uPwbBZFjjGgGUA6NLw09EwE0CqkOc4q9oUmW1yo/edit?usp=sharing"",""ลำพูน!I83"")"),4)</f>
        <v>4</v>
      </c>
      <c r="J158" s="198">
        <f ca="1">IFERROR(__xludf.DUMMYFUNCTION("IMPORTRANGE(""https://docs.google.com/spreadsheets/d/11923uPwbBZFjjGgGUA6NLw09EwE0CqkOc4q9oUmW1yo/edit?usp=sharing"",""ลำพูน!J83"")"),1)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IFERROR(__xludf.DUMMYFUNCTION("IMPORTRANGE(""https://docs.google.com/spreadsheets/d/11923uPwbBZFjjGgGUA6NLw09EwE0CqkOc4q9oUmW1yo/edit?usp=sharing"",""ลำพูน!J84"")"),60)</f>
        <v>60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IFERROR(__xludf.DUMMYFUNCTION("IMPORTRANGE(""https://docs.google.com/spreadsheets/d/11923uPwbBZFjjGgGUA6NLw09EwE0CqkOc4q9oUmW1yo/edit?usp=sharing"",""ลำพูน!J85"")"),60)</f>
        <v>60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IFERROR(__xludf.DUMMYFUNCTION("IMPORTRANGE(""https://docs.google.com/spreadsheets/d/11923uPwbBZFjjGgGUA6NLw09EwE0CqkOc4q9oUmW1yo/edit?usp=sharing"",""ลำพูน!J86"")"),0)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IFERROR(__xludf.DUMMYFUNCTION("IMPORTRANGE(""https://docs.google.com/spreadsheets/d/11923uPwbBZFjjGgGUA6NLw09EwE0CqkOc4q9oUmW1yo/edit?usp=sharing"",""ลำพูน!J87"")"),0)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IFERROR(__xludf.DUMMYFUNCTION("IMPORTRANGE(""https://docs.google.com/spreadsheets/d/11923uPwbBZFjjGgGUA6NLw09EwE0CqkOc4q9oUmW1yo/edit?usp=sharing"",""ลำพูน!J88"")"),0)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IFERROR(__xludf.DUMMYFUNCTION("IMPORTRANGE(""https://docs.google.com/spreadsheets/d/11923uPwbBZFjjGgGUA6NLw09EwE0CqkOc4q9oUmW1yo/edit?usp=sharing"",""ลำพูน!I89"")"),2)</f>
        <v>2</v>
      </c>
      <c r="J164" s="292">
        <f ca="1">IFERROR(__xludf.DUMMYFUNCTION("IMPORTRANGE(""https://docs.google.com/spreadsheets/d/11923uPwbBZFjjGgGUA6NLw09EwE0CqkOc4q9oUmW1yo/edit?usp=sharing"",""ลำพูน!J89"")"),0)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IFERROR(__xludf.DUMMYFUNCTION("IMPORTRANGE(""https://docs.google.com/spreadsheets/d/11923uPwbBZFjjGgGUA6NLw09EwE0CqkOc4q9oUmW1yo/edit?usp=sharing"",""ลำพูน!J94"")"),0)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IFERROR(__xludf.DUMMYFUNCTION("IMPORTRANGE(""https://docs.google.com/spreadsheets/d/11923uPwbBZFjjGgGUA6NLw09EwE0CqkOc4q9oUmW1yo/edit?usp=sharing"",""ลำพูน!J95"")"),1)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IFERROR(__xludf.DUMMYFUNCTION("IMPORTRANGE(""https://docs.google.com/spreadsheets/d/11923uPwbBZFjjGgGUA6NLw09EwE0CqkOc4q9oUmW1yo/edit?usp=sharing"",""ลำพูน!J96"")"),1)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IFERROR(__xludf.DUMMYFUNCTION("IMPORTRANGE(""https://docs.google.com/spreadsheets/d/11923uPwbBZFjjGgGUA6NLw09EwE0CqkOc4q9oUmW1yo/edit?usp=sharing"",""ลำพูน!J97"")"),1)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IFERROR(__xludf.DUMMYFUNCTION("IMPORTRANGE(""https://docs.google.com/spreadsheets/d/11923uPwbBZFjjGgGUA6NLw09EwE0CqkOc4q9oUmW1yo/edit?usp=sharing"",""ลำพูน!I98"")"),2)</f>
        <v>2</v>
      </c>
      <c r="J173" s="198">
        <f ca="1">IFERROR(__xludf.DUMMYFUNCTION("IMPORTRANGE(""https://docs.google.com/spreadsheets/d/11923uPwbBZFjjGgGUA6NLw09EwE0CqkOc4q9oUmW1yo/edit?usp=sharing"",""ลำพูน!J98"")"),0)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IFERROR(__xludf.DUMMYFUNCTION("IMPORTRANGE(""https://docs.google.com/spreadsheets/d/11923uPwbBZFjjGgGUA6NLw09EwE0CqkOc4q9oUmW1yo/edit?usp=sharing"",""ลำพูน!J99"")"),0)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IFERROR(__xludf.DUMMYFUNCTION("IMPORTRANGE(""https://docs.google.com/spreadsheets/d/11923uPwbBZFjjGgGUA6NLw09EwE0CqkOc4q9oUmW1yo/edit?usp=sharing"",""ลำพูน!J100"")"),0)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IFERROR(__xludf.DUMMYFUNCTION("IMPORTRANGE(""https://docs.google.com/spreadsheets/d/11923uPwbBZFjjGgGUA6NLw09EwE0CqkOc4q9oUmW1yo/edit?usp=sharing"",""ลำพูน!I101"")"),0)</f>
        <v>0</v>
      </c>
      <c r="J176" s="292">
        <f ca="1">IFERROR(__xludf.DUMMYFUNCTION("IMPORTRANGE(""https://docs.google.com/spreadsheets/d/11923uPwbBZFjjGgGUA6NLw09EwE0CqkOc4q9oUmW1yo/edit?usp=sharing"",""ลำพูน!J101"")"),0)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IFERROR(__xludf.DUMMYFUNCTION("IMPORTRANGE(""https://docs.google.com/spreadsheets/d/11923uPwbBZFjjGgGUA6NLw09EwE0CqkOc4q9oUmW1yo/edit?usp=sharing"",""ลำพูน!J106"")"),0)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IFERROR(__xludf.DUMMYFUNCTION("IMPORTRANGE(""https://docs.google.com/spreadsheets/d/11923uPwbBZFjjGgGUA6NLw09EwE0CqkOc4q9oUmW1yo/edit?usp=sharing"",""ลำพูน!J107"")"),0)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IFERROR(__xludf.DUMMYFUNCTION("IMPORTRANGE(""https://docs.google.com/spreadsheets/d/11923uPwbBZFjjGgGUA6NLw09EwE0CqkOc4q9oUmW1yo/edit?usp=sharing"",""ลำพูน!J108"")"),0)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IFERROR(__xludf.DUMMYFUNCTION("IMPORTRANGE(""https://docs.google.com/spreadsheets/d/11923uPwbBZFjjGgGUA6NLw09EwE0CqkOc4q9oUmW1yo/edit?usp=sharing"",""ลำพูน!J109"")"),0)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IFERROR(__xludf.DUMMYFUNCTION("IMPORTRANGE(""https://docs.google.com/spreadsheets/d/11923uPwbBZFjjGgGUA6NLw09EwE0CqkOc4q9oUmW1yo/edit?usp=sharing"",""ลำพูน!I110"")"),0)</f>
        <v>0</v>
      </c>
      <c r="J185" s="213">
        <f ca="1">IFERROR(__xludf.DUMMYFUNCTION("IMPORTRANGE(""https://docs.google.com/spreadsheets/d/11923uPwbBZFjjGgGUA6NLw09EwE0CqkOc4q9oUmW1yo/edit?usp=sharing"",""ลำพูน!J110"")"),0)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IFERROR(__xludf.DUMMYFUNCTION("IMPORTRANGE(""https://docs.google.com/spreadsheets/d/11923uPwbBZFjjGgGUA6NLw09EwE0CqkOc4q9oUmW1yo/edit?usp=sharing"",""ลำพูน!I111"")"),0)</f>
        <v>0</v>
      </c>
      <c r="J186" s="213">
        <f ca="1">IFERROR(__xludf.DUMMYFUNCTION("IMPORTRANGE(""https://docs.google.com/spreadsheets/d/11923uPwbBZFjjGgGUA6NLw09EwE0CqkOc4q9oUmW1yo/edit?usp=sharing"",""ลำพูน!J111"")"),0)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IFERROR(__xludf.DUMMYFUNCTION("IMPORTRANGE(""https://docs.google.com/spreadsheets/d/11923uPwbBZFjjGgGUA6NLw09EwE0CqkOc4q9oUmW1yo/edit?usp=sharing"",""ลำพูน!J112"")"),0)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IFERROR(__xludf.DUMMYFUNCTION("IMPORTRANGE(""https://docs.google.com/spreadsheets/d/11923uPwbBZFjjGgGUA6NLw09EwE0CqkOc4q9oUmW1yo/edit?usp=sharing"",""ลำพูน!J113"")"),0)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IFERROR(__xludf.DUMMYFUNCTION("IMPORTRANGE(""https://docs.google.com/spreadsheets/d/11923uPwbBZFjjGgGUA6NLw09EwE0CqkOc4q9oUmW1yo/edit?usp=sharing"",""ลำพูน!I114"")"),100000)</f>
        <v>100000</v>
      </c>
      <c r="J189" s="292">
        <f ca="1">IFERROR(__xludf.DUMMYFUNCTION("IMPORTRANGE(""https://docs.google.com/spreadsheets/d/11923uPwbBZFjjGgGUA6NLw09EwE0CqkOc4q9oUmW1yo/edit?usp=sharing"",""ลำพูน!J114"")"),0)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IFERROR(__xludf.DUMMYFUNCTION("IMPORTRANGE(""https://docs.google.com/spreadsheets/d/11923uPwbBZFjjGgGUA6NLw09EwE0CqkOc4q9oUmW1yo/edit?usp=sharing"",""ลำพูน!J119"")"),1)</f>
        <v>1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IFERROR(__xludf.DUMMYFUNCTION("IMPORTRANGE(""https://docs.google.com/spreadsheets/d/11923uPwbBZFjjGgGUA6NLw09EwE0CqkOc4q9oUmW1yo/edit?usp=sharing"",""ลำพูน!J120"")"),0)</f>
        <v>0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IFERROR(__xludf.DUMMYFUNCTION("IMPORTRANGE(""https://docs.google.com/spreadsheets/d/11923uPwbBZFjjGgGUA6NLw09EwE0CqkOc4q9oUmW1yo/edit?usp=sharing"",""ลำพูน!J121"")"),0)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IFERROR(__xludf.DUMMYFUNCTION("IMPORTRANGE(""https://docs.google.com/spreadsheets/d/11923uPwbBZFjjGgGUA6NLw09EwE0CqkOc4q9oUmW1yo/edit?usp=sharing"",""ลำพูน!J122"")"),0)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IFERROR(__xludf.DUMMYFUNCTION("IMPORTRANGE(""https://docs.google.com/spreadsheets/d/11923uPwbBZFjjGgGUA6NLw09EwE0CqkOc4q9oUmW1yo/edit?usp=sharing"",""ลำพูน!I124"")"),100000)</f>
        <v>100000</v>
      </c>
      <c r="J199" s="198">
        <f ca="1">IFERROR(__xludf.DUMMYFUNCTION("IMPORTRANGE(""https://docs.google.com/spreadsheets/d/11923uPwbBZFjjGgGUA6NLw09EwE0CqkOc4q9oUmW1yo/edit?usp=sharing"",""ลำพูน!J124"")"),0)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IFERROR(__xludf.DUMMYFUNCTION("IMPORTRANGE(""https://docs.google.com/spreadsheets/d/11923uPwbBZFjjGgGUA6NLw09EwE0CqkOc4q9oUmW1yo/edit?usp=sharing"",""ลำพูน!I125"")"),100000)</f>
        <v>100000</v>
      </c>
      <c r="J200" s="198">
        <f ca="1">IFERROR(__xludf.DUMMYFUNCTION("IMPORTRANGE(""https://docs.google.com/spreadsheets/d/11923uPwbBZFjjGgGUA6NLw09EwE0CqkOc4q9oUmW1yo/edit?usp=sharing"",""ลำพูน!J125"")"),0)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IFERROR(__xludf.DUMMYFUNCTION("IMPORTRANGE(""https://docs.google.com/spreadsheets/d/11923uPwbBZFjjGgGUA6NLw09EwE0CqkOc4q9oUmW1yo/edit?usp=sharing"",""ลำพูน!I126"")"),0)</f>
        <v>0</v>
      </c>
      <c r="J201" s="198">
        <f ca="1">IFERROR(__xludf.DUMMYFUNCTION("IMPORTRANGE(""https://docs.google.com/spreadsheets/d/11923uPwbBZFjjGgGUA6NLw09EwE0CqkOc4q9oUmW1yo/edit?usp=sharing"",""ลำพูน!J126"")"),0)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IFERROR(__xludf.DUMMYFUNCTION("IMPORTRANGE(""https://docs.google.com/spreadsheets/d/11923uPwbBZFjjGgGUA6NLw09EwE0CqkOc4q9oUmW1yo/edit?usp=sharing"",""ลำพูน!J127"")"),0)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IFERROR(__xludf.DUMMYFUNCTION("IMPORTRANGE(""https://docs.google.com/spreadsheets/d/11923uPwbBZFjjGgGUA6NLw09EwE0CqkOc4q9oUmW1yo/edit?usp=sharing"",""ลำพูน!J128"")"),0)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IFERROR(__xludf.DUMMYFUNCTION("IMPORTRANGE(""https://docs.google.com/spreadsheets/d/11923uPwbBZFjjGgGUA6NLw09EwE0CqkOc4q9oUmW1yo/edit?usp=sharing"",""ลำพูน!I129"")"),150)</f>
        <v>150</v>
      </c>
      <c r="J204" s="292">
        <f ca="1">IFERROR(__xludf.DUMMYFUNCTION("IMPORTRANGE(""https://docs.google.com/spreadsheets/d/11923uPwbBZFjjGgGUA6NLw09EwE0CqkOc4q9oUmW1yo/edit?usp=sharing"",""ลำพูน!J129"")"),135)</f>
        <v>135</v>
      </c>
      <c r="K204" s="293">
        <f ca="1">IF(I204&gt;0,J204*100/I204,0)</f>
        <v>90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IFERROR(__xludf.DUMMYFUNCTION("IMPORTRANGE(""https://docs.google.com/spreadsheets/d/11923uPwbBZFjjGgGUA6NLw09EwE0CqkOc4q9oUmW1yo/edit?usp=sharing"",""ลำพูน!J134"")"),0)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IFERROR(__xludf.DUMMYFUNCTION("IMPORTRANGE(""https://docs.google.com/spreadsheets/d/11923uPwbBZFjjGgGUA6NLw09EwE0CqkOc4q9oUmW1yo/edit?usp=sharing"",""ลำพูน!J135"")"),1)</f>
        <v>1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IFERROR(__xludf.DUMMYFUNCTION("IMPORTRANGE(""https://docs.google.com/spreadsheets/d/11923uPwbBZFjjGgGUA6NLw09EwE0CqkOc4q9oUmW1yo/edit?usp=sharing"",""ลำพูน!J136"")"),0)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IFERROR(__xludf.DUMMYFUNCTION("IMPORTRANGE(""https://docs.google.com/spreadsheets/d/11923uPwbBZFjjGgGUA6NLw09EwE0CqkOc4q9oUmW1yo/edit?usp=sharing"",""ลำพูน!J137"")"),1)</f>
        <v>1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IFERROR(__xludf.DUMMYFUNCTION("IMPORTRANGE(""https://docs.google.com/spreadsheets/d/11923uPwbBZFjjGgGUA6NLw09EwE0CqkOc4q9oUmW1yo/edit?usp=sharing"",""ลำพูน!I138"")"),150)</f>
        <v>150</v>
      </c>
      <c r="J213" s="213">
        <f ca="1">IFERROR(__xludf.DUMMYFUNCTION("IMPORTRANGE(""https://docs.google.com/spreadsheets/d/11923uPwbBZFjjGgGUA6NLw09EwE0CqkOc4q9oUmW1yo/edit?usp=sharing"",""ลำพูน!J138"")"),135)</f>
        <v>135</v>
      </c>
      <c r="K213" s="233">
        <f ca="1">IF(I213&gt;0,J213*100/I213,0)</f>
        <v>90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IFERROR(__xludf.DUMMYFUNCTION("IMPORTRANGE(""https://docs.google.com/spreadsheets/d/11923uPwbBZFjjGgGUA6NLw09EwE0CqkOc4q9oUmW1yo/edit?usp=sharing"",""ลำพูน!I140"")"),0)</f>
        <v>0</v>
      </c>
      <c r="J215" s="213">
        <f ca="1">IFERROR(__xludf.DUMMYFUNCTION("IMPORTRANGE(""https://docs.google.com/spreadsheets/d/11923uPwbBZFjjGgGUA6NLw09EwE0CqkOc4q9oUmW1yo/edit?usp=sharing"",""ลำพูน!J140"")"),0)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IFERROR(__xludf.DUMMYFUNCTION("IMPORTRANGE(""https://docs.google.com/spreadsheets/d/11923uPwbBZFjjGgGUA6NLw09EwE0CqkOc4q9oUmW1yo/edit?usp=sharing"",""ลำพูน!I141"")"),3)</f>
        <v>3</v>
      </c>
      <c r="J216" s="213">
        <f ca="1">IFERROR(__xludf.DUMMYFUNCTION("IMPORTRANGE(""https://docs.google.com/spreadsheets/d/11923uPwbBZFjjGgGUA6NLw09EwE0CqkOc4q9oUmW1yo/edit?usp=sharing"",""ลำพูน!J141"")"),0)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IFERROR(__xludf.DUMMYFUNCTION("IMPORTRANGE(""https://docs.google.com/spreadsheets/d/11923uPwbBZFjjGgGUA6NLw09EwE0CqkOc4q9oUmW1yo/edit?usp=sharing"",""ลำพูน!J142"")"),0)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IFERROR(__xludf.DUMMYFUNCTION("IMPORTRANGE(""https://docs.google.com/spreadsheets/d/11923uPwbBZFjjGgGUA6NLw09EwE0CqkOc4q9oUmW1yo/edit?usp=sharing"",""ลำพูน!J143"")"),0)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IFERROR(__xludf.DUMMYFUNCTION("IMPORTRANGE(""https://docs.google.com/spreadsheets/d/11923uPwbBZFjjGgGUA6NLw09EwE0CqkOc4q9oUmW1yo/edit?usp=sharing"",""ลำพูน!I144"")"),15)</f>
        <v>15</v>
      </c>
      <c r="J219" s="276">
        <f ca="1">IFERROR(__xludf.DUMMYFUNCTION("IMPORTRANGE(""https://docs.google.com/spreadsheets/d/11923uPwbBZFjjGgGUA6NLw09EwE0CqkOc4q9oUmW1yo/edit?usp=sharing"",""ลำพูน!J144"")"),15)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IFERROR(__xludf.DUMMYFUNCTION("IMPORTRANGE(""https://docs.google.com/spreadsheets/d/1Yj_ptqi66GCucihVvJfMjLAmec39IyEx_6qawtMGysU/edit?usp=sharing"",""สบก!BS33"")"),21125)</f>
        <v>21125</v>
      </c>
      <c r="N224" s="177">
        <f ca="1">IFERROR(__xludf.DUMMYFUNCTION("IMPORTRANGE(""https://docs.google.com/spreadsheets/d/1Yj_ptqi66GCucihVvJfMjLAmec39IyEx_6qawtMGysU/edit?usp=sharing"",""สบก!BT33"")"),21125)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IFERROR(__xludf.DUMMYFUNCTION("IMPORTRANGE(""https://docs.google.com/spreadsheets/d/1Yj_ptqi66GCucihVvJfMjLAmec39IyEx_6qawtMGysU/edit?usp=sharing"",""สบก!BO33"")"),0)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IFERROR(__xludf.DUMMYFUNCTION("IMPORTRANGE(""https://docs.google.com/spreadsheets/d/1Yj_ptqi66GCucihVvJfMjLAmec39IyEx_6qawtMGysU/edit?usp=sharing"",""สบก!BP33"")"),21125)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IFERROR(__xludf.DUMMYFUNCTION("IMPORTRANGE(""https://docs.google.com/spreadsheets/d/1Yj_ptqi66GCucihVvJfMjLAmec39IyEx_6qawtMGysU/edit?usp=sharing"",""สบก!BQ33"")"),0)</f>
        <v>0</v>
      </c>
      <c r="M228" s="103"/>
      <c r="N228" s="93">
        <f ca="1">IFERROR(__xludf.DUMMYFUNCTION("IMPORTRANGE(""https://docs.google.com/spreadsheets/d/1Yj_ptqi66GCucihVvJfMjLAmec39IyEx_6qawtMGysU/edit?usp=sharing"",""สบก!BU33"")"),0)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IFERROR(__xludf.DUMMYFUNCTION("IMPORTRANGE(""https://docs.google.com/spreadsheets/d/11923uPwbBZFjjGgGUA6NLw09EwE0CqkOc4q9oUmW1yo/edit?usp=sharing"",""ลำพูน!I149"")"),15)</f>
        <v>15</v>
      </c>
      <c r="J229" s="276">
        <f ca="1">IFERROR(__xludf.DUMMYFUNCTION("IMPORTRANGE(""https://docs.google.com/spreadsheets/d/11923uPwbBZFjjGgGUA6NLw09EwE0CqkOc4q9oUmW1yo/edit?usp=sharing"",""ลำพูน!J149"")"),15)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IFERROR(__xludf.DUMMYFUNCTION("IMPORTRANGE(""https://docs.google.com/spreadsheets/d/11923uPwbBZFjjGgGUA6NLw09EwE0CqkOc4q9oUmW1yo/edit?usp=sharing"",""ลำพูน!J151"")"),0)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IFERROR(__xludf.DUMMYFUNCTION("IMPORTRANGE(""https://docs.google.com/spreadsheets/d/11923uPwbBZFjjGgGUA6NLw09EwE0CqkOc4q9oUmW1yo/edit?usp=sharing"",""ลำพูน!J152"")"),1)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IFERROR(__xludf.DUMMYFUNCTION("IMPORTRANGE(""https://docs.google.com/spreadsheets/d/11923uPwbBZFjjGgGUA6NLw09EwE0CqkOc4q9oUmW1yo/edit?usp=sharing"",""ลำพูน!J153"")"),1)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IFERROR(__xludf.DUMMYFUNCTION("IMPORTRANGE(""https://docs.google.com/spreadsheets/d/11923uPwbBZFjjGgGUA6NLw09EwE0CqkOc4q9oUmW1yo/edit?usp=sharing"",""ลำพูน!J154"")"),0)</f>
        <v>0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IFERROR(__xludf.DUMMYFUNCTION("IMPORTRANGE(""https://docs.google.com/spreadsheets/d/11923uPwbBZFjjGgGUA6NLw09EwE0CqkOc4q9oUmW1yo/edit?usp=sharing"",""ลำพูน!I155"")"),15)</f>
        <v>15</v>
      </c>
      <c r="J235" s="198">
        <f ca="1">IFERROR(__xludf.DUMMYFUNCTION("IMPORTRANGE(""https://docs.google.com/spreadsheets/d/11923uPwbBZFjjGgGUA6NLw09EwE0CqkOc4q9oUmW1yo/edit?usp=sharing"",""ลำพูน!J155"")"),15)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IFERROR(__xludf.DUMMYFUNCTION("IMPORTRANGE(""https://docs.google.com/spreadsheets/d/11923uPwbBZFjjGgGUA6NLw09EwE0CqkOc4q9oUmW1yo/edit?usp=sharing"",""ลำพูน!J156"")"),0)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IFERROR(__xludf.DUMMYFUNCTION("IMPORTRANGE(""https://docs.google.com/spreadsheets/d/11923uPwbBZFjjGgGUA6NLw09EwE0CqkOc4q9oUmW1yo/edit?usp=sharing"",""ลำพูน!J157"")"),0)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IFERROR(__xludf.DUMMYFUNCTION("IMPORTRANGE(""https://docs.google.com/spreadsheets/d/11923uPwbBZFjjGgGUA6NLw09EwE0CqkOc4q9oUmW1yo/edit?usp=sharing"",""ลำพูน!I158"")"),0)</f>
        <v>0</v>
      </c>
      <c r="J238" s="276">
        <f ca="1">IFERROR(__xludf.DUMMYFUNCTION("IMPORTRANGE(""https://docs.google.com/spreadsheets/d/11923uPwbBZFjjGgGUA6NLw09EwE0CqkOc4q9oUmW1yo/edit?usp=sharing"",""ลำพูน!J158"")"),0)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IFERROR(__xludf.DUMMYFUNCTION("IMPORTRANGE(""https://docs.google.com/spreadsheets/d/11923uPwbBZFjjGgGUA6NLw09EwE0CqkOc4q9oUmW1yo/edit?usp=sharing"",""ลำพูน!J159"")"),"")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IFERROR(__xludf.DUMMYFUNCTION("IMPORTRANGE(""https://docs.google.com/spreadsheets/d/11923uPwbBZFjjGgGUA6NLw09EwE0CqkOc4q9oUmW1yo/edit?usp=sharing"",""ลำพูน!J161"")"),0)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IFERROR(__xludf.DUMMYFUNCTION("IMPORTRANGE(""https://docs.google.com/spreadsheets/d/11923uPwbBZFjjGgGUA6NLw09EwE0CqkOc4q9oUmW1yo/edit?usp=sharing"",""ลำพูน!J162"")"),0)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IFERROR(__xludf.DUMMYFUNCTION("IMPORTRANGE(""https://docs.google.com/spreadsheets/d/11923uPwbBZFjjGgGUA6NLw09EwE0CqkOc4q9oUmW1yo/edit?usp=sharing"",""ลำพูน!J163"")"),0)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IFERROR(__xludf.DUMMYFUNCTION("IMPORTRANGE(""https://docs.google.com/spreadsheets/d/11923uPwbBZFjjGgGUA6NLw09EwE0CqkOc4q9oUmW1yo/edit?usp=sharing"",""ลำพูน!I164"")"),0)</f>
        <v>0</v>
      </c>
      <c r="J244" s="197">
        <f ca="1">IFERROR(__xludf.DUMMYFUNCTION("IMPORTRANGE(""https://docs.google.com/spreadsheets/d/11923uPwbBZFjjGgGUA6NLw09EwE0CqkOc4q9oUmW1yo/edit?usp=sharing"",""ลำพูน!J164"")"),0)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IFERROR(__xludf.DUMMYFUNCTION("IMPORTRANGE(""https://docs.google.com/spreadsheets/d/11923uPwbBZFjjGgGUA6NLw09EwE0CqkOc4q9oUmW1yo/edit?usp=sharing"",""ลำพูน!J165"")"),0)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IFERROR(__xludf.DUMMYFUNCTION("IMPORTRANGE(""https://docs.google.com/spreadsheets/d/11923uPwbBZFjjGgGUA6NLw09EwE0CqkOc4q9oUmW1yo/edit?usp=sharing"",""ลำพูน!J166"")"),0)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IFERROR(__xludf.DUMMYFUNCTION("IMPORTRANGE(""https://docs.google.com/spreadsheets/d/11923uPwbBZFjjGgGUA6NLw09EwE0CqkOc4q9oUmW1yo/edit?usp=sharing"",""ลำพูน!I169"")"),0)</f>
        <v>0</v>
      </c>
      <c r="J249" s="324">
        <f ca="1">IFERROR(__xludf.DUMMYFUNCTION("IMPORTRANGE(""https://docs.google.com/spreadsheets/d/11923uPwbBZFjjGgGUA6NLw09EwE0CqkOc4q9oUmW1yo/edit?usp=sharing"",""ลำพูน!J169"")"),0)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IFERROR(__xludf.DUMMYFUNCTION("IMPORTRANGE(""https://docs.google.com/spreadsheets/d/1Yj_ptqi66GCucihVvJfMjLAmec39IyEx_6qawtMGysU/edit?usp=sharing"",""สบก!CB33"")"),0)</f>
        <v>0</v>
      </c>
      <c r="N254" s="177">
        <f ca="1">IFERROR(__xludf.DUMMYFUNCTION("IMPORTRANGE(""https://docs.google.com/spreadsheets/d/1Yj_ptqi66GCucihVvJfMjLAmec39IyEx_6qawtMGysU/edit?usp=sharing"",""สบก!CC33"")"),0)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IFERROR(__xludf.DUMMYFUNCTION("IMPORTRANGE(""https://docs.google.com/spreadsheets/d/1Yj_ptqi66GCucihVvJfMjLAmec39IyEx_6qawtMGysU/edit?usp=sharing"",""สบก!BX33"")"),0)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IFERROR(__xludf.DUMMYFUNCTION("IMPORTRANGE(""https://docs.google.com/spreadsheets/d/1Yj_ptqi66GCucihVvJfMjLAmec39IyEx_6qawtMGysU/edit?usp=sharing"",""สบก!BY33"")"),0)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IFERROR(__xludf.DUMMYFUNCTION("IMPORTRANGE(""https://docs.google.com/spreadsheets/d/1Yj_ptqi66GCucihVvJfMjLAmec39IyEx_6qawtMGysU/edit?usp=sharing"",""สบก!BZ33"")"),0)</f>
        <v>0</v>
      </c>
      <c r="M258" s="103"/>
      <c r="N258" s="93">
        <f ca="1">IFERROR(__xludf.DUMMYFUNCTION("IMPORTRANGE(""https://docs.google.com/spreadsheets/d/1Yj_ptqi66GCucihVvJfMjLAmec39IyEx_6qawtMGysU/edit?usp=sharing"",""สบก!CD33"")"),0)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IFERROR(__xludf.DUMMYFUNCTION("IMPORTRANGE(""https://docs.google.com/spreadsheets/d/11923uPwbBZFjjGgGUA6NLw09EwE0CqkOc4q9oUmW1yo/edit?usp=sharing"",""ลำพูน!J175"")"),0)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IFERROR(__xludf.DUMMYFUNCTION("IMPORTRANGE(""https://docs.google.com/spreadsheets/d/11923uPwbBZFjjGgGUA6NLw09EwE0CqkOc4q9oUmW1yo/edit?usp=sharing"",""ลำพูน!J176"")"),0)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IFERROR(__xludf.DUMMYFUNCTION("IMPORTRANGE(""https://docs.google.com/spreadsheets/d/11923uPwbBZFjjGgGUA6NLw09EwE0CqkOc4q9oUmW1yo/edit?usp=sharing"",""ลำพูน!J177"")"),0)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IFERROR(__xludf.DUMMYFUNCTION("IMPORTRANGE(""https://docs.google.com/spreadsheets/d/11923uPwbBZFjjGgGUA6NLw09EwE0CqkOc4q9oUmW1yo/edit?usp=sharing"",""ลำพูน!J178"")"),0)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IFERROR(__xludf.DUMMYFUNCTION("IMPORTRANGE(""https://docs.google.com/spreadsheets/d/11923uPwbBZFjjGgGUA6NLw09EwE0CqkOc4q9oUmW1yo/edit?usp=sharing"",""ลำพูน!I179"")"),0)</f>
        <v>0</v>
      </c>
      <c r="J264" s="198">
        <f ca="1">IFERROR(__xludf.DUMMYFUNCTION("IMPORTRANGE(""https://docs.google.com/spreadsheets/d/11923uPwbBZFjjGgGUA6NLw09EwE0CqkOc4q9oUmW1yo/edit?usp=sharing"",""ลำพูน!J179"")"),0)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IFERROR(__xludf.DUMMYFUNCTION("IMPORTRANGE(""https://docs.google.com/spreadsheets/d/11923uPwbBZFjjGgGUA6NLw09EwE0CqkOc4q9oUmW1yo/edit?usp=sharing"",""ลำพูน!I180"")"),0)</f>
        <v>0</v>
      </c>
      <c r="J265" s="198">
        <f ca="1">IFERROR(__xludf.DUMMYFUNCTION("IMPORTRANGE(""https://docs.google.com/spreadsheets/d/11923uPwbBZFjjGgGUA6NLw09EwE0CqkOc4q9oUmW1yo/edit?usp=sharing"",""ลำพูน!J180"")"),0)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IFERROR(__xludf.DUMMYFUNCTION("IMPORTRANGE(""https://docs.google.com/spreadsheets/d/11923uPwbBZFjjGgGUA6NLw09EwE0CqkOc4q9oUmW1yo/edit?usp=sharing"",""ลำพูน!I181"")"),0)</f>
        <v>0</v>
      </c>
      <c r="J266" s="198">
        <f ca="1">IFERROR(__xludf.DUMMYFUNCTION("IMPORTRANGE(""https://docs.google.com/spreadsheets/d/11923uPwbBZFjjGgGUA6NLw09EwE0CqkOc4q9oUmW1yo/edit?usp=sharing"",""ลำพูน!J181"")"),0)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IFERROR(__xludf.DUMMYFUNCTION("IMPORTRANGE(""https://docs.google.com/spreadsheets/d/11923uPwbBZFjjGgGUA6NLw09EwE0CqkOc4q9oUmW1yo/edit?usp=sharing"",""ลำพูน!I182"")"),0)</f>
        <v>0</v>
      </c>
      <c r="J267" s="198">
        <f ca="1">IFERROR(__xludf.DUMMYFUNCTION("IMPORTRANGE(""https://docs.google.com/spreadsheets/d/11923uPwbBZFjjGgGUA6NLw09EwE0CqkOc4q9oUmW1yo/edit?usp=sharing"",""ลำพูน!J182"")"),0)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IFERROR(__xludf.DUMMYFUNCTION("IMPORTRANGE(""https://docs.google.com/spreadsheets/d/11923uPwbBZFjjGgGUA6NLw09EwE0CqkOc4q9oUmW1yo/edit?usp=sharing"",""ลำพูน!J183"")"),0)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IFERROR(__xludf.DUMMYFUNCTION("IMPORTRANGE(""https://docs.google.com/spreadsheets/d/11923uPwbBZFjjGgGUA6NLw09EwE0CqkOc4q9oUmW1yo/edit?usp=sharing"",""ลำพูน!J184"")"),0)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IFERROR(__xludf.DUMMYFUNCTION("IMPORTRANGE(""https://docs.google.com/spreadsheets/d/11923uPwbBZFjjGgGUA6NLw09EwE0CqkOc4q9oUmW1yo/edit?usp=sharing"",""ลำพูน!I185"")"),15)</f>
        <v>15</v>
      </c>
      <c r="J270" s="324">
        <f ca="1">IFERROR(__xludf.DUMMYFUNCTION("IMPORTRANGE(""https://docs.google.com/spreadsheets/d/11923uPwbBZFjjGgGUA6NLw09EwE0CqkOc4q9oUmW1yo/edit?usp=sharing"",""ลำพูน!J185"")"),15)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55200</v>
      </c>
      <c r="M271" s="158">
        <f t="shared" ca="1" si="83"/>
        <v>32250</v>
      </c>
      <c r="N271" s="158">
        <f t="shared" ca="1" si="83"/>
        <v>6415</v>
      </c>
      <c r="O271" s="157">
        <f t="shared" ref="O271:O273" ca="1" si="84">IF(L271&gt;0,N271*100/L271,0)</f>
        <v>11.621376811594203</v>
      </c>
      <c r="P271" s="157">
        <f t="shared" ref="P271:P273" ca="1" si="85">IF(M271&gt;0,N271*100/M271,0)</f>
        <v>19.891472868217054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55200</v>
      </c>
      <c r="M273" s="163">
        <f t="shared" ca="1" si="87"/>
        <v>32250</v>
      </c>
      <c r="N273" s="163">
        <f t="shared" ca="1" si="87"/>
        <v>6415</v>
      </c>
      <c r="O273" s="162">
        <f t="shared" ca="1" si="84"/>
        <v>11.621376811594203</v>
      </c>
      <c r="P273" s="162">
        <f t="shared" ca="1" si="85"/>
        <v>19.891472868217054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55200</v>
      </c>
      <c r="M275" s="176">
        <f ca="1">IFERROR(__xludf.DUMMYFUNCTION("IMPORTRANGE(""https://docs.google.com/spreadsheets/d/1Yj_ptqi66GCucihVvJfMjLAmec39IyEx_6qawtMGysU/edit?usp=sharing"",""สบก!CK33"")"),32250)</f>
        <v>32250</v>
      </c>
      <c r="N275" s="177">
        <f ca="1">IFERROR(__xludf.DUMMYFUNCTION("IMPORTRANGE(""https://docs.google.com/spreadsheets/d/1Yj_ptqi66GCucihVvJfMjLAmec39IyEx_6qawtMGysU/edit?usp=sharing"",""สบก!CL33"")"),6415)</f>
        <v>6415</v>
      </c>
      <c r="O275" s="178">
        <f ca="1">IF(L275&gt;0,N275*100/L275,0)</f>
        <v>11.621376811594203</v>
      </c>
      <c r="P275" s="178">
        <f ca="1">IF(M275&gt;0,N275*100/M275,0)</f>
        <v>19.891472868217054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IFERROR(__xludf.DUMMYFUNCTION("IMPORTRANGE(""https://docs.google.com/spreadsheets/d/1Yj_ptqi66GCucihVvJfMjLAmec39IyEx_6qawtMGysU/edit?usp=sharing"",""สบก!CG33"")"),0)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IFERROR(__xludf.DUMMYFUNCTION("IMPORTRANGE(""https://docs.google.com/spreadsheets/d/1Yj_ptqi66GCucihVvJfMjLAmec39IyEx_6qawtMGysU/edit?usp=sharing"",""สบก!CH33"")"),55200)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IFERROR(__xludf.DUMMYFUNCTION("IMPORTRANGE(""https://docs.google.com/spreadsheets/d/1Yj_ptqi66GCucihVvJfMjLAmec39IyEx_6qawtMGysU/edit?usp=sharing"",""สบก!CI33"")"),0)</f>
        <v>0</v>
      </c>
      <c r="M279" s="103"/>
      <c r="N279" s="93">
        <f ca="1">IFERROR(__xludf.DUMMYFUNCTION("IMPORTRANGE(""https://docs.google.com/spreadsheets/d/1Yj_ptqi66GCucihVvJfMjLAmec39IyEx_6qawtMGysU/edit?usp=sharing"",""สบก!CM33"")"),0)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IFERROR(__xludf.DUMMYFUNCTION("IMPORTRANGE(""https://docs.google.com/spreadsheets/d/11923uPwbBZFjjGgGUA6NLw09EwE0CqkOc4q9oUmW1yo/edit?usp=sharing"",""ลำพูน!J191"")"),0)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IFERROR(__xludf.DUMMYFUNCTION("IMPORTRANGE(""https://docs.google.com/spreadsheets/d/11923uPwbBZFjjGgGUA6NLw09EwE0CqkOc4q9oUmW1yo/edit?usp=sharing"",""ลำพูน!J192"")"),1)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IFERROR(__xludf.DUMMYFUNCTION("IMPORTRANGE(""https://docs.google.com/spreadsheets/d/11923uPwbBZFjjGgGUA6NLw09EwE0CqkOc4q9oUmW1yo/edit?usp=sharing"",""ลำพูน!J193"")"),1)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IFERROR(__xludf.DUMMYFUNCTION("IMPORTRANGE(""https://docs.google.com/spreadsheets/d/11923uPwbBZFjjGgGUA6NLw09EwE0CqkOc4q9oUmW1yo/edit?usp=sharing"",""ลำพูน!J194"")"),1)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IFERROR(__xludf.DUMMYFUNCTION("IMPORTRANGE(""https://docs.google.com/spreadsheets/d/11923uPwbBZFjjGgGUA6NLw09EwE0CqkOc4q9oUmW1yo/edit?usp=sharing"",""ลำพูน!I195"")"),15)</f>
        <v>15</v>
      </c>
      <c r="J285" s="198">
        <f ca="1">IFERROR(__xludf.DUMMYFUNCTION("IMPORTRANGE(""https://docs.google.com/spreadsheets/d/11923uPwbBZFjjGgGUA6NLw09EwE0CqkOc4q9oUmW1yo/edit?usp=sharing"",""ลำพูน!J195"")"),15)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IFERROR(__xludf.DUMMYFUNCTION("IMPORTRANGE(""https://docs.google.com/spreadsheets/d/11923uPwbBZFjjGgGUA6NLw09EwE0CqkOc4q9oUmW1yo/edit?usp=sharing"",""ลำพูน!J196"")"),0)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IFERROR(__xludf.DUMMYFUNCTION("IMPORTRANGE(""https://docs.google.com/spreadsheets/d/11923uPwbBZFjjGgGUA6NLw09EwE0CqkOc4q9oUmW1yo/edit?usp=sharing"",""ลำพูน!J197"")"),0)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IFERROR(__xludf.DUMMYFUNCTION("IMPORTRANGE(""https://docs.google.com/spreadsheets/d/11923uPwbBZFjjGgGUA6NLw09EwE0CqkOc4q9oUmW1yo/edit?usp=sharing"",""ลำพูน!I199"")"),0)</f>
        <v>0</v>
      </c>
      <c r="J289" s="324">
        <f ca="1">IFERROR(__xludf.DUMMYFUNCTION("IMPORTRANGE(""https://docs.google.com/spreadsheets/d/11923uPwbBZFjjGgGUA6NLw09EwE0CqkOc4q9oUmW1yo/edit?usp=sharing"",""ลำพูน!J199"")"),0)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IFERROR(__xludf.DUMMYFUNCTION("IMPORTRANGE(""https://docs.google.com/spreadsheets/d/1Yj_ptqi66GCucihVvJfMjLAmec39IyEx_6qawtMGysU/edit?usp=sharing"",""สบก!CT33"")"),0)</f>
        <v>0</v>
      </c>
      <c r="N294" s="177">
        <f ca="1">IFERROR(__xludf.DUMMYFUNCTION("IMPORTRANGE(""https://docs.google.com/spreadsheets/d/1Yj_ptqi66GCucihVvJfMjLAmec39IyEx_6qawtMGysU/edit?usp=sharing"",""สบก!CU33"")"),0)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IFERROR(__xludf.DUMMYFUNCTION("IMPORTRANGE(""https://docs.google.com/spreadsheets/d/1Yj_ptqi66GCucihVvJfMjLAmec39IyEx_6qawtMGysU/edit?usp=sharing"",""สบก!CP33"")"),0)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IFERROR(__xludf.DUMMYFUNCTION("IMPORTRANGE(""https://docs.google.com/spreadsheets/d/1Yj_ptqi66GCucihVvJfMjLAmec39IyEx_6qawtMGysU/edit?usp=sharing"",""สบก!CQ33"")"),0)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IFERROR(__xludf.DUMMYFUNCTION("IMPORTRANGE(""https://docs.google.com/spreadsheets/d/1Yj_ptqi66GCucihVvJfMjLAmec39IyEx_6qawtMGysU/edit?usp=sharing"",""สบก!CR33"")"),0)</f>
        <v>0</v>
      </c>
      <c r="M298" s="103"/>
      <c r="N298" s="93">
        <f ca="1">IFERROR(__xludf.DUMMYFUNCTION("IMPORTRANGE(""https://docs.google.com/spreadsheets/d/1Yj_ptqi66GCucihVvJfMjLAmec39IyEx_6qawtMGysU/edit?usp=sharing"",""สบก!CV33"")"),0)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IFERROR(__xludf.DUMMYFUNCTION("IMPORTRANGE(""https://docs.google.com/spreadsheets/d/11923uPwbBZFjjGgGUA6NLw09EwE0CqkOc4q9oUmW1yo/edit?usp=sharing"",""ลำพูน!J205"")"),0)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IFERROR(__xludf.DUMMYFUNCTION("IMPORTRANGE(""https://docs.google.com/spreadsheets/d/11923uPwbBZFjjGgGUA6NLw09EwE0CqkOc4q9oUmW1yo/edit?usp=sharing"",""ลำพูน!J206"")"),0)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IFERROR(__xludf.DUMMYFUNCTION("IMPORTRANGE(""https://docs.google.com/spreadsheets/d/11923uPwbBZFjjGgGUA6NLw09EwE0CqkOc4q9oUmW1yo/edit?usp=sharing"",""ลำพูน!J207"")"),0)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IFERROR(__xludf.DUMMYFUNCTION("IMPORTRANGE(""https://docs.google.com/spreadsheets/d/11923uPwbBZFjjGgGUA6NLw09EwE0CqkOc4q9oUmW1yo/edit?usp=sharing"",""ลำพูน!J208"")"),0)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IFERROR(__xludf.DUMMYFUNCTION("IMPORTRANGE(""https://docs.google.com/spreadsheets/d/11923uPwbBZFjjGgGUA6NLw09EwE0CqkOc4q9oUmW1yo/edit?usp=sharing"",""ลำพูน!I209"")"),0)</f>
        <v>0</v>
      </c>
      <c r="J304" s="213">
        <f ca="1">IFERROR(__xludf.DUMMYFUNCTION("IMPORTRANGE(""https://docs.google.com/spreadsheets/d/11923uPwbBZFjjGgGUA6NLw09EwE0CqkOc4q9oUmW1yo/edit?usp=sharing"",""ลำพูน!J209"")"),0)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IFERROR(__xludf.DUMMYFUNCTION("IMPORTRANGE(""https://docs.google.com/spreadsheets/d/11923uPwbBZFjjGgGUA6NLw09EwE0CqkOc4q9oUmW1yo/edit?usp=sharing"",""ลำพูน!I211"")"),0)</f>
        <v>0</v>
      </c>
      <c r="J306" s="213">
        <f ca="1">IFERROR(__xludf.DUMMYFUNCTION("IMPORTRANGE(""https://docs.google.com/spreadsheets/d/11923uPwbBZFjjGgGUA6NLw09EwE0CqkOc4q9oUmW1yo/edit?usp=sharing"",""ลำพูน!J211"")"),0)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IFERROR(__xludf.DUMMYFUNCTION("IMPORTRANGE(""https://docs.google.com/spreadsheets/d/11923uPwbBZFjjGgGUA6NLw09EwE0CqkOc4q9oUmW1yo/edit?usp=sharing"",""ลำพูน!J212"")"),0)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IFERROR(__xludf.DUMMYFUNCTION("IMPORTRANGE(""https://docs.google.com/spreadsheets/d/11923uPwbBZFjjGgGUA6NLw09EwE0CqkOc4q9oUmW1yo/edit?usp=sharing"",""ลำพูน!J213"")"),0)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IFERROR(__xludf.DUMMYFUNCTION("IMPORTRANGE(""https://docs.google.com/spreadsheets/d/11923uPwbBZFjjGgGUA6NLw09EwE0CqkOc4q9oUmW1yo/edit?usp=sharing"",""ลำพูน!I214"")"),0)</f>
        <v>0</v>
      </c>
      <c r="J309" s="341">
        <f ca="1">IFERROR(__xludf.DUMMYFUNCTION("IMPORTRANGE(""https://docs.google.com/spreadsheets/d/11923uPwbBZFjjGgGUA6NLw09EwE0CqkOc4q9oUmW1yo/edit?usp=sharing"",""ลำพูน!J214"")"),0)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IFERROR(__xludf.DUMMYFUNCTION("IMPORTRANGE(""https://docs.google.com/spreadsheets/d/1Yj_ptqi66GCucihVvJfMjLAmec39IyEx_6qawtMGysU/edit?usp=sharing"",""สบก!DC33"")"),0)</f>
        <v>0</v>
      </c>
      <c r="N314" s="177">
        <f ca="1">IFERROR(__xludf.DUMMYFUNCTION("IMPORTRANGE(""https://docs.google.com/spreadsheets/d/1Yj_ptqi66GCucihVvJfMjLAmec39IyEx_6qawtMGysU/edit?usp=sharing"",""สบก!DD33"")"),0)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IFERROR(__xludf.DUMMYFUNCTION("IMPORTRANGE(""https://docs.google.com/spreadsheets/d/1Yj_ptqi66GCucihVvJfMjLAmec39IyEx_6qawtMGysU/edit?usp=sharing"",""สบก!CY33"")"),0)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IFERROR(__xludf.DUMMYFUNCTION("IMPORTRANGE(""https://docs.google.com/spreadsheets/d/1Yj_ptqi66GCucihVvJfMjLAmec39IyEx_6qawtMGysU/edit?usp=sharing"",""สบก!CZ33"")"),0)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IFERROR(__xludf.DUMMYFUNCTION("IMPORTRANGE(""https://docs.google.com/spreadsheets/d/1Yj_ptqi66GCucihVvJfMjLAmec39IyEx_6qawtMGysU/edit?usp=sharing"",""สบก!DA33"")"),0)</f>
        <v>0</v>
      </c>
      <c r="M318" s="103"/>
      <c r="N318" s="93">
        <f ca="1">IFERROR(__xludf.DUMMYFUNCTION("IMPORTRANGE(""https://docs.google.com/spreadsheets/d/1Yj_ptqi66GCucihVvJfMjLAmec39IyEx_6qawtMGysU/edit?usp=sharing"",""สบก!DE33"")"),0)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IFERROR(__xludf.DUMMYFUNCTION("IMPORTRANGE(""https://docs.google.com/spreadsheets/d/11923uPwbBZFjjGgGUA6NLw09EwE0CqkOc4q9oUmW1yo/edit?usp=sharing"",""ลำพูน!J220"")"),0)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IFERROR(__xludf.DUMMYFUNCTION("IMPORTRANGE(""https://docs.google.com/spreadsheets/d/11923uPwbBZFjjGgGUA6NLw09EwE0CqkOc4q9oUmW1yo/edit?usp=sharing"",""ลำพูน!J221"")"),0)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IFERROR(__xludf.DUMMYFUNCTION("IMPORTRANGE(""https://docs.google.com/spreadsheets/d/11923uPwbBZFjjGgGUA6NLw09EwE0CqkOc4q9oUmW1yo/edit?usp=sharing"",""ลำพูน!J222"")"),0)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IFERROR(__xludf.DUMMYFUNCTION("IMPORTRANGE(""https://docs.google.com/spreadsheets/d/11923uPwbBZFjjGgGUA6NLw09EwE0CqkOc4q9oUmW1yo/edit?usp=sharing"",""ลำพูน!J223"")"),0)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IFERROR(__xludf.DUMMYFUNCTION("IMPORTRANGE(""https://docs.google.com/spreadsheets/d/11923uPwbBZFjjGgGUA6NLw09EwE0CqkOc4q9oUmW1yo/edit?usp=sharing"",""ลำพูน!I224"")"),0)</f>
        <v>0</v>
      </c>
      <c r="J324" s="213">
        <f ca="1">IFERROR(__xludf.DUMMYFUNCTION("IMPORTRANGE(""https://docs.google.com/spreadsheets/d/11923uPwbBZFjjGgGUA6NLw09EwE0CqkOc4q9oUmW1yo/edit?usp=sharing"",""ลำพูน!J224"")"),0)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IFERROR(__xludf.DUMMYFUNCTION("IMPORTRANGE(""https://docs.google.com/spreadsheets/d/11923uPwbBZFjjGgGUA6NLw09EwE0CqkOc4q9oUmW1yo/edit?usp=sharing"",""ลำพูน!J225"")"),0)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IFERROR(__xludf.DUMMYFUNCTION("IMPORTRANGE(""https://docs.google.com/spreadsheets/d/11923uPwbBZFjjGgGUA6NLw09EwE0CqkOc4q9oUmW1yo/edit?usp=sharing"",""ลำพูน!J226"")"),0)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IFERROR(__xludf.DUMMYFUNCTION("IMPORTRANGE(""https://docs.google.com/spreadsheets/d/11923uPwbBZFjjGgGUA6NLw09EwE0CqkOc4q9oUmW1yo/edit?usp=sharing"",""ลำพูน!I228"")"),222)</f>
        <v>222</v>
      </c>
      <c r="J328" s="347">
        <f ca="1">IFERROR(__xludf.DUMMYFUNCTION("IMPORTRANGE(""https://docs.google.com/spreadsheets/d/11923uPwbBZFjjGgGUA6NLw09EwE0CqkOc4q9oUmW1yo/edit?usp=sharing"",""ลำพูน!J228"")"),26)</f>
        <v>26</v>
      </c>
      <c r="K328" s="325">
        <f ca="1">IF(I328&gt;0,J328*100/I328,0)</f>
        <v>11.711711711711711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733780</v>
      </c>
      <c r="M329" s="158">
        <f t="shared" ca="1" si="98"/>
        <v>375440</v>
      </c>
      <c r="N329" s="158">
        <f t="shared" ca="1" si="98"/>
        <v>245870</v>
      </c>
      <c r="O329" s="157">
        <f t="shared" ref="O329:O331" ca="1" si="99">IF(L329&gt;0,N329*100/L329,0)</f>
        <v>33.50731826978113</v>
      </c>
      <c r="P329" s="157">
        <f t="shared" ref="P329:P331" ca="1" si="100">IF(M329&gt;0,N329*100/M329,0)</f>
        <v>65.488493500958882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733780</v>
      </c>
      <c r="M331" s="163">
        <f t="shared" ca="1" si="102"/>
        <v>375440</v>
      </c>
      <c r="N331" s="163">
        <f t="shared" ca="1" si="102"/>
        <v>245870</v>
      </c>
      <c r="O331" s="162">
        <f t="shared" ca="1" si="99"/>
        <v>33.50731826978113</v>
      </c>
      <c r="P331" s="162">
        <f t="shared" ca="1" si="100"/>
        <v>65.488493500958882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722380</v>
      </c>
      <c r="M333" s="176">
        <f ca="1">IFERROR(__xludf.DUMMYFUNCTION("IMPORTRANGE(""https://docs.google.com/spreadsheets/d/1Yj_ptqi66GCucihVvJfMjLAmec39IyEx_6qawtMGysU/edit?usp=sharing"",""สบก!DL33"")"),375440)</f>
        <v>375440</v>
      </c>
      <c r="N333" s="177">
        <f ca="1">IFERROR(__xludf.DUMMYFUNCTION("IMPORTRANGE(""https://docs.google.com/spreadsheets/d/1Yj_ptqi66GCucihVvJfMjLAmec39IyEx_6qawtMGysU/edit?usp=sharing"",""สบก!DM33"")"),234470)</f>
        <v>234470</v>
      </c>
      <c r="O333" s="178">
        <f ca="1">IF(L333&gt;0,N333*100/L333,0)</f>
        <v>32.457986101497823</v>
      </c>
      <c r="P333" s="178">
        <f ca="1">IF(M333&gt;0,N333*100/M333,0)</f>
        <v>62.452056253995309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IFERROR(__xludf.DUMMYFUNCTION("IMPORTRANGE(""https://docs.google.com/spreadsheets/d/1Yj_ptqi66GCucihVvJfMjLAmec39IyEx_6qawtMGysU/edit?usp=sharing"",""สบก!DH33"")"),417600)</f>
        <v>417600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IFERROR(__xludf.DUMMYFUNCTION("IMPORTRANGE(""https://docs.google.com/spreadsheets/d/1Yj_ptqi66GCucihVvJfMjLAmec39IyEx_6qawtMGysU/edit?usp=sharing"",""สบก!DI33"")"),304780)</f>
        <v>304780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IFERROR(__xludf.DUMMYFUNCTION("IMPORTRANGE(""https://docs.google.com/spreadsheets/d/1Yj_ptqi66GCucihVvJfMjLAmec39IyEx_6qawtMGysU/edit?usp=sharing"",""สบก!DJ33"")"),11400)</f>
        <v>11400</v>
      </c>
      <c r="M337" s="103"/>
      <c r="N337" s="93">
        <f ca="1">IFERROR(__xludf.DUMMYFUNCTION("IMPORTRANGE(""https://docs.google.com/spreadsheets/d/1Yj_ptqi66GCucihVvJfMjLAmec39IyEx_6qawtMGysU/edit?usp=sharing"",""สบก!DN33"")"),11400)</f>
        <v>11400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IFERROR(__xludf.DUMMYFUNCTION("IMPORTRANGE(""https://docs.google.com/spreadsheets/d/11923uPwbBZFjjGgGUA6NLw09EwE0CqkOc4q9oUmW1yo/edit?usp=sharing"",""ลำพูน!I234"")"),0)</f>
        <v>0</v>
      </c>
      <c r="J339" s="197">
        <f ca="1">IFERROR(__xludf.DUMMYFUNCTION("IMPORTRANGE(""https://docs.google.com/spreadsheets/d/11923uPwbBZFjjGgGUA6NLw09EwE0CqkOc4q9oUmW1yo/edit?usp=sharing"",""ลำพูน!J234"")"),34)</f>
        <v>34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IFERROR(__xludf.DUMMYFUNCTION("IMPORTRANGE(""https://docs.google.com/spreadsheets/d/11923uPwbBZFjjGgGUA6NLw09EwE0CqkOc4q9oUmW1yo/edit?usp=sharing"",""ลำพูน!I235"")"),700)</f>
        <v>700</v>
      </c>
      <c r="J340" s="197">
        <f ca="1">IFERROR(__xludf.DUMMYFUNCTION("IMPORTRANGE(""https://docs.google.com/spreadsheets/d/11923uPwbBZFjjGgGUA6NLw09EwE0CqkOc4q9oUmW1yo/edit?usp=sharing"",""ลำพูน!J235"")"),88.22)</f>
        <v>88.22</v>
      </c>
      <c r="K340" s="350">
        <f t="shared" ca="1" si="103"/>
        <v>12.602857142857143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IFERROR(__xludf.DUMMYFUNCTION("IMPORTRANGE(""https://docs.google.com/spreadsheets/d/11923uPwbBZFjjGgGUA6NLw09EwE0CqkOc4q9oUmW1yo/edit?usp=sharing"",""ลำพูน!I236"")"),222)</f>
        <v>222</v>
      </c>
      <c r="J341" s="197">
        <f ca="1">IFERROR(__xludf.DUMMYFUNCTION("IMPORTRANGE(""https://docs.google.com/spreadsheets/d/11923uPwbBZFjjGgGUA6NLw09EwE0CqkOc4q9oUmW1yo/edit?usp=sharing"",""ลำพูน!J236"")"),26)</f>
        <v>26</v>
      </c>
      <c r="K341" s="350">
        <f t="shared" ca="1" si="103"/>
        <v>11.711711711711711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IFERROR(__xludf.DUMMYFUNCTION("IMPORTRANGE(""https://docs.google.com/spreadsheets/d/11923uPwbBZFjjGgGUA6NLw09EwE0CqkOc4q9oUmW1yo/edit?usp=sharing"",""ลำพูน!I237"")"),0)</f>
        <v>0</v>
      </c>
      <c r="J342" s="197">
        <f ca="1">IFERROR(__xludf.DUMMYFUNCTION("IMPORTRANGE(""https://docs.google.com/spreadsheets/d/11923uPwbBZFjjGgGUA6NLw09EwE0CqkOc4q9oUmW1yo/edit?usp=sharing"",""ลำพูน!J237"")"),173.64)</f>
        <v>173.64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IFERROR(__xludf.DUMMYFUNCTION("IMPORTRANGE(""https://docs.google.com/spreadsheets/d/11923uPwbBZFjjGgGUA6NLw09EwE0CqkOc4q9oUmW1yo/edit?usp=sharing"",""ลำพูน!I238"")"),222)</f>
        <v>222</v>
      </c>
      <c r="J343" s="197">
        <f ca="1">IFERROR(__xludf.DUMMYFUNCTION("IMPORTRANGE(""https://docs.google.com/spreadsheets/d/11923uPwbBZFjjGgGUA6NLw09EwE0CqkOc4q9oUmW1yo/edit?usp=sharing"",""ลำพูน!J238"")"),0)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IFERROR(__xludf.DUMMYFUNCTION("IMPORTRANGE(""https://docs.google.com/spreadsheets/d/11923uPwbBZFjjGgGUA6NLw09EwE0CqkOc4q9oUmW1yo/edit?usp=sharing"",""ลำพูน!I239"")"),0)</f>
        <v>0</v>
      </c>
      <c r="J344" s="197">
        <f ca="1">IFERROR(__xludf.DUMMYFUNCTION("IMPORTRANGE(""https://docs.google.com/spreadsheets/d/11923uPwbBZFjjGgGUA6NLw09EwE0CqkOc4q9oUmW1yo/edit?usp=sharing"",""ลำพูน!J239"")"),0)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IFERROR(__xludf.DUMMYFUNCTION("IMPORTRANGE(""https://docs.google.com/spreadsheets/d/11923uPwbBZFjjGgGUA6NLw09EwE0CqkOc4q9oUmW1yo/edit?usp=sharing"",""ลำพูน!I240"")"),222)</f>
        <v>222</v>
      </c>
      <c r="J345" s="197">
        <f ca="1">IFERROR(__xludf.DUMMYFUNCTION("IMPORTRANGE(""https://docs.google.com/spreadsheets/d/11923uPwbBZFjjGgGUA6NLw09EwE0CqkOc4q9oUmW1yo/edit?usp=sharing"",""ลำพูน!J240"")"),26)</f>
        <v>26</v>
      </c>
      <c r="K345" s="350">
        <f t="shared" ca="1" si="103"/>
        <v>11.711711711711711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IFERROR(__xludf.DUMMYFUNCTION("IMPORTRANGE(""https://docs.google.com/spreadsheets/d/11923uPwbBZFjjGgGUA6NLw09EwE0CqkOc4q9oUmW1yo/edit?usp=sharing"",""ลำพูน!I241"")"),0)</f>
        <v>0</v>
      </c>
      <c r="J346" s="197">
        <f ca="1">IFERROR(__xludf.DUMMYFUNCTION("IMPORTRANGE(""https://docs.google.com/spreadsheets/d/11923uPwbBZFjjGgGUA6NLw09EwE0CqkOc4q9oUmW1yo/edit?usp=sharing"",""ลำพูน!J241"")"),173.64)</f>
        <v>173.64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IFERROR(__xludf.DUMMYFUNCTION("IMPORTRANGE(""https://docs.google.com/spreadsheets/d/11923uPwbBZFjjGgGUA6NLw09EwE0CqkOc4q9oUmW1yo/edit?usp=sharing"",""ลำพูน!L242"")"),2384110)</f>
        <v>2384110</v>
      </c>
      <c r="M347" s="366"/>
      <c r="N347" s="366">
        <f ca="1">IFERROR(__xludf.DUMMYFUNCTION("IMPORTRANGE(""https://docs.google.com/spreadsheets/d/11923uPwbBZFjjGgGUA6NLw09EwE0CqkOc4q9oUmW1yo/edit?usp=sharing"",""ลำพูน!M242"")"),511389)</f>
        <v>511389</v>
      </c>
      <c r="O347" s="366">
        <f ca="1">+IF(L347&gt;0,N347*100/L347,0)</f>
        <v>21.4498911543511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IFERROR(__xludf.DUMMYFUNCTION("IMPORTRANGE(""https://docs.google.com/spreadsheets/d/11923uPwbBZFjjGgGUA6NLw09EwE0CqkOc4q9oUmW1yo/edit?usp=sharing"",""ลำพูน!I244"")"),200)</f>
        <v>200</v>
      </c>
      <c r="J349" s="379">
        <f ca="1">IFERROR(__xludf.DUMMYFUNCTION("IMPORTRANGE(""https://docs.google.com/spreadsheets/d/11923uPwbBZFjjGgGUA6NLw09EwE0CqkOc4q9oUmW1yo/edit?usp=sharing"",""ลำพูน!J244"")"),200)</f>
        <v>200</v>
      </c>
      <c r="K349" s="380">
        <f t="shared" ref="K349:K350" ca="1" si="104">IF(I349&gt;0,J349*100/I349,0)</f>
        <v>100</v>
      </c>
      <c r="L349" s="381">
        <f ca="1">IFERROR(__xludf.DUMMYFUNCTION("IMPORTRANGE(""https://docs.google.com/spreadsheets/d/11923uPwbBZFjjGgGUA6NLw09EwE0CqkOc4q9oUmW1yo/edit?usp=sharing"",""ลำพูน!L244"")"),459380)</f>
        <v>459380</v>
      </c>
      <c r="M349" s="381"/>
      <c r="N349" s="381">
        <f ca="1">IFERROR(__xludf.DUMMYFUNCTION("IMPORTRANGE(""https://docs.google.com/spreadsheets/d/11923uPwbBZFjjGgGUA6NLw09EwE0CqkOc4q9oUmW1yo/edit?usp=sharing"",""ลำพูน!M244"")"),323820)</f>
        <v>323820</v>
      </c>
      <c r="O349" s="381">
        <f ca="1">+IF(L349&gt;0,N349*100/L349,0)</f>
        <v>70.490661326135225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IFERROR(__xludf.DUMMYFUNCTION("IMPORTRANGE(""https://docs.google.com/spreadsheets/d/11923uPwbBZFjjGgGUA6NLw09EwE0CqkOc4q9oUmW1yo/edit?usp=sharing"",""ลำพูน!I245"")"),70)</f>
        <v>70</v>
      </c>
      <c r="J350" s="379">
        <f ca="1">IFERROR(__xludf.DUMMYFUNCTION("IMPORTRANGE(""https://docs.google.com/spreadsheets/d/11923uPwbBZFjjGgGUA6NLw09EwE0CqkOc4q9oUmW1yo/edit?usp=sharing"",""ลำพูน!J245"")"),70)</f>
        <v>70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IFERROR(__xludf.DUMMYFUNCTION("IMPORTRANGE(""https://docs.google.com/spreadsheets/d/11923uPwbBZFjjGgGUA6NLw09EwE0CqkOc4q9oUmW1yo/edit?usp=sharing"",""ลำพูน!L246"")"),0)</f>
        <v>0</v>
      </c>
      <c r="M351" s="172"/>
      <c r="N351" s="172">
        <f ca="1">IFERROR(__xludf.DUMMYFUNCTION("IMPORTRANGE(""https://docs.google.com/spreadsheets/d/11923uPwbBZFjjGgGUA6NLw09EwE0CqkOc4q9oUmW1yo/edit?usp=sharing"",""ลำพูน!M246"")"),0)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IFERROR(__xludf.DUMMYFUNCTION("IMPORTRANGE(""https://docs.google.com/spreadsheets/d/11923uPwbBZFjjGgGUA6NLw09EwE0CqkOc4q9oUmW1yo/edit?usp=sharing"",""ลำพูน!L247"")"),459380)</f>
        <v>459380</v>
      </c>
      <c r="M352" s="173"/>
      <c r="N352" s="172">
        <f ca="1">IFERROR(__xludf.DUMMYFUNCTION("IMPORTRANGE(""https://docs.google.com/spreadsheets/d/11923uPwbBZFjjGgGUA6NLw09EwE0CqkOc4q9oUmW1yo/edit?usp=sharing"",""ลำพูน!M247"")"),323820)</f>
        <v>323820</v>
      </c>
      <c r="O352" s="173">
        <f t="shared" ca="1" si="105"/>
        <v>70.490661326135225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IFERROR(__xludf.DUMMYFUNCTION("IMPORTRANGE(""https://docs.google.com/spreadsheets/d/11923uPwbBZFjjGgGUA6NLw09EwE0CqkOc4q9oUmW1yo/edit?usp=sharing"",""ลำพูน!L248"")"),0)</f>
        <v>0</v>
      </c>
      <c r="M353" s="178"/>
      <c r="N353" s="178">
        <f ca="1">IFERROR(__xludf.DUMMYFUNCTION("IMPORTRANGE(""https://docs.google.com/spreadsheets/d/11923uPwbBZFjjGgGUA6NLw09EwE0CqkOc4q9oUmW1yo/edit?usp=sharing"",""ลำพูน!M248"")"),0)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IFERROR(__xludf.DUMMYFUNCTION("IMPORTRANGE(""https://docs.google.com/spreadsheets/d/11923uPwbBZFjjGgGUA6NLw09EwE0CqkOc4q9oUmW1yo/edit?usp=sharing"",""ลำพูน!L249"")"),459380)</f>
        <v>459380</v>
      </c>
      <c r="M354" s="178"/>
      <c r="N354" s="175">
        <f ca="1">IFERROR(__xludf.DUMMYFUNCTION("IMPORTRANGE(""https://docs.google.com/spreadsheets/d/11923uPwbBZFjjGgGUA6NLw09EwE0CqkOc4q9oUmW1yo/edit?usp=sharing"",""ลำพูน!M249"")"),323820)</f>
        <v>323820</v>
      </c>
      <c r="O354" s="178">
        <f t="shared" ca="1" si="105"/>
        <v>70.490661326135225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IFERROR(__xludf.DUMMYFUNCTION("IMPORTRANGE(""https://docs.google.com/spreadsheets/d/11923uPwbBZFjjGgGUA6NLw09EwE0CqkOc4q9oUmW1yo/edit?usp=sharing"",""ลำพูน!M250"")"),84600)</f>
        <v>84600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IFERROR(__xludf.DUMMYFUNCTION("IMPORTRANGE(""https://docs.google.com/spreadsheets/d/11923uPwbBZFjjGgGUA6NLw09EwE0CqkOc4q9oUmW1yo/edit?usp=sharing"",""ลำพูน!M251"")"),183800)</f>
        <v>183800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IFERROR(__xludf.DUMMYFUNCTION("IMPORTRANGE(""https://docs.google.com/spreadsheets/d/11923uPwbBZFjjGgGUA6NLw09EwE0CqkOc4q9oUmW1yo/edit?usp=sharing"",""ลำพูน!M252"")"),42935)</f>
        <v>42935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IFERROR(__xludf.DUMMYFUNCTION("IMPORTRANGE(""https://docs.google.com/spreadsheets/d/11923uPwbBZFjjGgGUA6NLw09EwE0CqkOc4q9oUmW1yo/edit?usp=sharing"",""ลำพูน!M253"")"),12485)</f>
        <v>12485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IFERROR(__xludf.DUMMYFUNCTION("IMPORTRANGE(""https://docs.google.com/spreadsheets/d/11923uPwbBZFjjGgGUA6NLw09EwE0CqkOc4q9oUmW1yo/edit?usp=sharing"",""ลำพูน!J255"")"),0)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IFERROR(__xludf.DUMMYFUNCTION("IMPORTRANGE(""https://docs.google.com/spreadsheets/d/11923uPwbBZFjjGgGUA6NLw09EwE0CqkOc4q9oUmW1yo/edit?usp=sharing"",""ลำพูน!J256"")"),1)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IFERROR(__xludf.DUMMYFUNCTION("IMPORTRANGE(""https://docs.google.com/spreadsheets/d/11923uPwbBZFjjGgGUA6NLw09EwE0CqkOc4q9oUmW1yo/edit?usp=sharing"",""ลำพูน!J257"")"),1)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IFERROR(__xludf.DUMMYFUNCTION("IMPORTRANGE(""https://docs.google.com/spreadsheets/d/11923uPwbBZFjjGgGUA6NLw09EwE0CqkOc4q9oUmW1yo/edit?usp=sharing"",""ลำพูน!J258"")"),1)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IFERROR(__xludf.DUMMYFUNCTION("IMPORTRANGE(""https://docs.google.com/spreadsheets/d/11923uPwbBZFjjGgGUA6NLw09EwE0CqkOc4q9oUmW1yo/edit?usp=sharing"",""ลำพูน!J166"")"),0)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IFERROR(__xludf.DUMMYFUNCTION("IMPORTRANGE(""https://docs.google.com/spreadsheets/d/11923uPwbBZFjjGgGUA6NLw09EwE0CqkOc4q9oUmW1yo/edit?usp=sharing"",""ลำพูน!J166"")"),0)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IFERROR(__xludf.DUMMYFUNCTION("IMPORTRANGE(""https://docs.google.com/spreadsheets/d/11923uPwbBZFjjGgGUA6NLw09EwE0CqkOc4q9oUmW1yo/edit?usp=sharing"",""ลำพูน!J166"")"),0)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IFERROR(__xludf.DUMMYFUNCTION("IMPORTRANGE(""https://docs.google.com/spreadsheets/d/11923uPwbBZFjjGgGUA6NLw09EwE0CqkOc4q9oUmW1yo/edit?usp=sharing"",""ลำพูน!J166"")"),0)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IFERROR(__xludf.DUMMYFUNCTION("IMPORTRANGE(""https://docs.google.com/spreadsheets/d/11923uPwbBZFjjGgGUA6NLw09EwE0CqkOc4q9oUmW1yo/edit?usp=sharing"",""ลำพูน!I263"")"),70)</f>
        <v>70</v>
      </c>
      <c r="J368" s="197">
        <f ca="1">IFERROR(__xludf.DUMMYFUNCTION("IMPORTRANGE(""https://docs.google.com/spreadsheets/d/11923uPwbBZFjjGgGUA6NLw09EwE0CqkOc4q9oUmW1yo/edit?usp=sharing"",""ลำพูน!J263"")"),70)</f>
        <v>70</v>
      </c>
      <c r="K368" s="171">
        <f t="shared" ca="1" si="106"/>
        <v>100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IFERROR(__xludf.DUMMYFUNCTION("IMPORTRANGE(""https://docs.google.com/spreadsheets/d/11923uPwbBZFjjGgGUA6NLw09EwE0CqkOc4q9oUmW1yo/edit?usp=sharing"",""ลำพูน!I164"")"),0)</f>
        <v>0</v>
      </c>
      <c r="J369" s="213">
        <f ca="1">IFERROR(__xludf.DUMMYFUNCTION("IMPORTRANGE(""https://docs.google.com/spreadsheets/d/11923uPwbBZFjjGgGUA6NLw09EwE0CqkOc4q9oUmW1yo/edit?usp=sharing"",""ลำพูน!J164"")"),0)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IFERROR(__xludf.DUMMYFUNCTION("IMPORTRANGE(""https://docs.google.com/spreadsheets/d/11923uPwbBZFjjGgGUA6NLw09EwE0CqkOc4q9oUmW1yo/edit?usp=sharing"",""ลำพูน!I265"")"),70)</f>
        <v>70</v>
      </c>
      <c r="J370" s="213">
        <f ca="1">IFERROR(__xludf.DUMMYFUNCTION("IMPORTRANGE(""https://docs.google.com/spreadsheets/d/11923uPwbBZFjjGgGUA6NLw09EwE0CqkOc4q9oUmW1yo/edit?usp=sharing"",""ลำพูน!J265"")"),70)</f>
        <v>70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IFERROR(__xludf.DUMMYFUNCTION("IMPORTRANGE(""https://docs.google.com/spreadsheets/d/11923uPwbBZFjjGgGUA6NLw09EwE0CqkOc4q9oUmW1yo/edit?usp=sharing"",""ลำพูน!I164"")"),0)</f>
        <v>0</v>
      </c>
      <c r="J371" s="198">
        <f ca="1">IFERROR(__xludf.DUMMYFUNCTION("IMPORTRANGE(""https://docs.google.com/spreadsheets/d/11923uPwbBZFjjGgGUA6NLw09EwE0CqkOc4q9oUmW1yo/edit?usp=sharing"",""ลำพูน!J164"")"),0)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IFERROR(__xludf.DUMMYFUNCTION("IMPORTRANGE(""https://docs.google.com/spreadsheets/d/11923uPwbBZFjjGgGUA6NLw09EwE0CqkOc4q9oUmW1yo/edit?usp=sharing"",""ลำพูน!I267"")"),70)</f>
        <v>70</v>
      </c>
      <c r="J372" s="198">
        <f ca="1">IFERROR(__xludf.DUMMYFUNCTION("IMPORTRANGE(""https://docs.google.com/spreadsheets/d/11923uPwbBZFjjGgGUA6NLw09EwE0CqkOc4q9oUmW1yo/edit?usp=sharing"",""ลำพูน!J267"")"),70)</f>
        <v>70</v>
      </c>
      <c r="K372" s="171">
        <f t="shared" ca="1" si="106"/>
        <v>100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IFERROR(__xludf.DUMMYFUNCTION("IMPORTRANGE(""https://docs.google.com/spreadsheets/d/11923uPwbBZFjjGgGUA6NLw09EwE0CqkOc4q9oUmW1yo/edit?usp=sharing"",""ลำพูน!I164"")"),0)</f>
        <v>0</v>
      </c>
      <c r="J373" s="213">
        <f ca="1">IFERROR(__xludf.DUMMYFUNCTION("IMPORTRANGE(""https://docs.google.com/spreadsheets/d/11923uPwbBZFjjGgGUA6NLw09EwE0CqkOc4q9oUmW1yo/edit?usp=sharing"",""ลำพูน!J164"")"),0)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IFERROR(__xludf.DUMMYFUNCTION("IMPORTRANGE(""https://docs.google.com/spreadsheets/d/11923uPwbBZFjjGgGUA6NLw09EwE0CqkOc4q9oUmW1yo/edit?usp=sharing"",""ลำพูน!I164"")"),0)</f>
        <v>0</v>
      </c>
      <c r="J374" s="197">
        <f ca="1">IFERROR(__xludf.DUMMYFUNCTION("IMPORTRANGE(""https://docs.google.com/spreadsheets/d/11923uPwbBZFjjGgGUA6NLw09EwE0CqkOc4q9oUmW1yo/edit?usp=sharing"",""ลำพูน!J164"")"),0)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IFERROR(__xludf.DUMMYFUNCTION("IMPORTRANGE(""https://docs.google.com/spreadsheets/d/11923uPwbBZFjjGgGUA6NLw09EwE0CqkOc4q9oUmW1yo/edit?usp=sharing"",""ลำพูน!I270"")"),200)</f>
        <v>200</v>
      </c>
      <c r="J375" s="197">
        <f ca="1">IFERROR(__xludf.DUMMYFUNCTION("IMPORTRANGE(""https://docs.google.com/spreadsheets/d/11923uPwbBZFjjGgGUA6NLw09EwE0CqkOc4q9oUmW1yo/edit?usp=sharing"",""ลำพูน!J270"")"),200)</f>
        <v>200</v>
      </c>
      <c r="K375" s="171">
        <f t="shared" ref="K375:K377" ca="1" si="107">IF(I375&gt;0,J375*100/I375,0)</f>
        <v>100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IFERROR(__xludf.DUMMYFUNCTION("IMPORTRANGE(""https://docs.google.com/spreadsheets/d/11923uPwbBZFjjGgGUA6NLw09EwE0CqkOc4q9oUmW1yo/edit?usp=sharing"",""ลำพูน!I271"")"),100)</f>
        <v>100</v>
      </c>
      <c r="J376" s="198">
        <f ca="1">IFERROR(__xludf.DUMMYFUNCTION("IMPORTRANGE(""https://docs.google.com/spreadsheets/d/11923uPwbBZFjjGgGUA6NLw09EwE0CqkOc4q9oUmW1yo/edit?usp=sharing"",""ลำพูน!J271"")"),100)</f>
        <v>100</v>
      </c>
      <c r="K376" s="171">
        <f t="shared" ca="1" si="107"/>
        <v>100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IFERROR(__xludf.DUMMYFUNCTION("IMPORTRANGE(""https://docs.google.com/spreadsheets/d/11923uPwbBZFjjGgGUA6NLw09EwE0CqkOc4q9oUmW1yo/edit?usp=sharing"",""ลำพูน!I272"")"),100)</f>
        <v>100</v>
      </c>
      <c r="J377" s="213">
        <f ca="1">IFERROR(__xludf.DUMMYFUNCTION("IMPORTRANGE(""https://docs.google.com/spreadsheets/d/11923uPwbBZFjjGgGUA6NLw09EwE0CqkOc4q9oUmW1yo/edit?usp=sharing"",""ลำพูน!J272"")"),100)</f>
        <v>100</v>
      </c>
      <c r="K377" s="171">
        <f t="shared" ca="1" si="107"/>
        <v>100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IFERROR(__xludf.DUMMYFUNCTION("IMPORTRANGE(""https://docs.google.com/spreadsheets/d/11923uPwbBZFjjGgGUA6NLw09EwE0CqkOc4q9oUmW1yo/edit?usp=sharing"",""ลำพูน!J273"")"),1)</f>
        <v>1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IFERROR(__xludf.DUMMYFUNCTION("IMPORTRANGE(""https://docs.google.com/spreadsheets/d/11923uPwbBZFjjGgGUA6NLw09EwE0CqkOc4q9oUmW1yo/edit?usp=sharing"",""ลำพูน!J274"")"),0)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IFERROR(__xludf.DUMMYFUNCTION("IMPORTRANGE(""https://docs.google.com/spreadsheets/d/11923uPwbBZFjjGgGUA6NLw09EwE0CqkOc4q9oUmW1yo/edit?usp=sharing"",""ลำพูน!I275"")"),1000)</f>
        <v>1000</v>
      </c>
      <c r="J380" s="379">
        <f ca="1">IFERROR(__xludf.DUMMYFUNCTION("IMPORTRANGE(""https://docs.google.com/spreadsheets/d/11923uPwbBZFjjGgGUA6NLw09EwE0CqkOc4q9oUmW1yo/edit?usp=sharing"",""ลำพูน!J275"")"),0)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IFERROR(__xludf.DUMMYFUNCTION("IMPORTRANGE(""https://docs.google.com/spreadsheets/d/11923uPwbBZFjjGgGUA6NLw09EwE0CqkOc4q9oUmW1yo/edit?usp=sharing"",""ลำพูน!L275"")"),1028520)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IFERROR(__xludf.DUMMYFUNCTION("IMPORTRANGE(""https://docs.google.com/spreadsheets/d/11923uPwbBZFjjGgGUA6NLw09EwE0CqkOc4q9oUmW1yo/edit?usp=sharing"",""ลำพูน!M275"")"),63935)</f>
        <v>63935</v>
      </c>
      <c r="O380" s="381">
        <f ca="1">+IF(L380&gt;0,N380*100/L380,0)</f>
        <v>6.216213588457201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IFERROR(__xludf.DUMMYFUNCTION("IMPORTRANGE(""https://docs.google.com/spreadsheets/d/11923uPwbBZFjjGgGUA6NLw09EwE0CqkOc4q9oUmW1yo/edit?usp=sharing"",""ลำพูน!I276"")"),100)</f>
        <v>100</v>
      </c>
      <c r="J381" s="379">
        <f ca="1">IFERROR(__xludf.DUMMYFUNCTION("IMPORTRANGE(""https://docs.google.com/spreadsheets/d/11923uPwbBZFjjGgGUA6NLw09EwE0CqkOc4q9oUmW1yo/edit?usp=sharing"",""ลำพูน!J276"")"),100)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IFERROR(__xludf.DUMMYFUNCTION("IMPORTRANGE(""https://docs.google.com/spreadsheets/d/11923uPwbBZFjjGgGUA6NLw09EwE0CqkOc4q9oUmW1yo/edit?usp=sharing"",""ลำพูน!L277"")"),0)</f>
        <v>0</v>
      </c>
      <c r="M382" s="172"/>
      <c r="N382" s="172">
        <f ca="1">IFERROR(__xludf.DUMMYFUNCTION("IMPORTRANGE(""https://docs.google.com/spreadsheets/d/11923uPwbBZFjjGgGUA6NLw09EwE0CqkOc4q9oUmW1yo/edit?usp=sharing"",""ลำพูน!M277"")"),0)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IFERROR(__xludf.DUMMYFUNCTION("IMPORTRANGE(""https://docs.google.com/spreadsheets/d/11923uPwbBZFjjGgGUA6NLw09EwE0CqkOc4q9oUmW1yo/edit?usp=sharing"",""ลำพูน!L278"")"),1028520)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IFERROR(__xludf.DUMMYFUNCTION("IMPORTRANGE(""https://docs.google.com/spreadsheets/d/11923uPwbBZFjjGgGUA6NLw09EwE0CqkOc4q9oUmW1yo/edit?usp=sharing"",""ลำพูน!M278"")"),63935)</f>
        <v>63935</v>
      </c>
      <c r="O383" s="173">
        <f t="shared" ca="1" si="109"/>
        <v>6.216213588457201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IFERROR(__xludf.DUMMYFUNCTION("IMPORTRANGE(""https://docs.google.com/spreadsheets/d/11923uPwbBZFjjGgGUA6NLw09EwE0CqkOc4q9oUmW1yo/edit?usp=sharing"",""ลำพูน!L279"")"),0)</f>
        <v>0</v>
      </c>
      <c r="M384" s="178"/>
      <c r="N384" s="178">
        <f ca="1">IFERROR(__xludf.DUMMYFUNCTION("IMPORTRANGE(""https://docs.google.com/spreadsheets/d/11923uPwbBZFjjGgGUA6NLw09EwE0CqkOc4q9oUmW1yo/edit?usp=sharing"",""ลำพูน!M279"")"),0)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IFERROR(__xludf.DUMMYFUNCTION("IMPORTRANGE(""https://docs.google.com/spreadsheets/d/11923uPwbBZFjjGgGUA6NLw09EwE0CqkOc4q9oUmW1yo/edit?usp=sharing"",""ลำพูน!L280"")"),1028520)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IFERROR(__xludf.DUMMYFUNCTION("IMPORTRANGE(""https://docs.google.com/spreadsheets/d/11923uPwbBZFjjGgGUA6NLw09EwE0CqkOc4q9oUmW1yo/edit?usp=sharing"",""ลำพูน!M280"")"),63935)</f>
        <v>63935</v>
      </c>
      <c r="O385" s="178">
        <f t="shared" ca="1" si="109"/>
        <v>6.216213588457201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IFERROR(__xludf.DUMMYFUNCTION("IMPORTRANGE(""https://docs.google.com/spreadsheets/d/11923uPwbBZFjjGgGUA6NLw09EwE0CqkOc4q9oUmW1yo/edit?usp=sharing"",""ลำพูน!M281"")"),19000)</f>
        <v>19000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IFERROR(__xludf.DUMMYFUNCTION("IMPORTRANGE(""https://docs.google.com/spreadsheets/d/11923uPwbBZFjjGgGUA6NLw09EwE0CqkOc4q9oUmW1yo/edit?usp=sharing"",""ลำพูน!M282"")"),0)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IFERROR(__xludf.DUMMYFUNCTION("IMPORTRANGE(""https://docs.google.com/spreadsheets/d/11923uPwbBZFjjGgGUA6NLw09EwE0CqkOc4q9oUmW1yo/edit?usp=sharing"",""ลำพูน!M283"")"),31935)</f>
        <v>31935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IFERROR(__xludf.DUMMYFUNCTION("IMPORTRANGE(""https://docs.google.com/spreadsheets/d/11923uPwbBZFjjGgGUA6NLw09EwE0CqkOc4q9oUmW1yo/edit?usp=sharing"",""ลำพูน!M284"")"),13000)</f>
        <v>13000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IFERROR(__xludf.DUMMYFUNCTION("IMPORTRANGE(""https://docs.google.com/spreadsheets/d/11923uPwbBZFjjGgGUA6NLw09EwE0CqkOc4q9oUmW1yo/edit?usp=sharing"",""ลำพูน!J286"")"),0)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IFERROR(__xludf.DUMMYFUNCTION("IMPORTRANGE(""https://docs.google.com/spreadsheets/d/11923uPwbBZFjjGgGUA6NLw09EwE0CqkOc4q9oUmW1yo/edit?usp=sharing"",""ลำพูน!J287"")"),1)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IFERROR(__xludf.DUMMYFUNCTION("IMPORTRANGE(""https://docs.google.com/spreadsheets/d/11923uPwbBZFjjGgGUA6NLw09EwE0CqkOc4q9oUmW1yo/edit?usp=sharing"",""ลำพูน!J288"")"),1)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IFERROR(__xludf.DUMMYFUNCTION("IMPORTRANGE(""https://docs.google.com/spreadsheets/d/11923uPwbBZFjjGgGUA6NLw09EwE0CqkOc4q9oUmW1yo/edit?usp=sharing"",""ลำพูน!J289"")"),1)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IFERROR(__xludf.DUMMYFUNCTION("IMPORTRANGE(""https://docs.google.com/spreadsheets/d/11923uPwbBZFjjGgGUA6NLw09EwE0CqkOc4q9oUmW1yo/edit?usp=sharing"",""ลำพูน!I291"")"),100)</f>
        <v>100</v>
      </c>
      <c r="J396" s="207">
        <f ca="1">IFERROR(__xludf.DUMMYFUNCTION("IMPORTRANGE(""https://docs.google.com/spreadsheets/d/11923uPwbBZFjjGgGUA6NLw09EwE0CqkOc4q9oUmW1yo/edit?usp=sharing"",""ลำพูน!J291"")"),100)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IFERROR(__xludf.DUMMYFUNCTION("IMPORTRANGE(""https://docs.google.com/spreadsheets/d/11923uPwbBZFjjGgGUA6NLw09EwE0CqkOc4q9oUmW1yo/edit?usp=sharing"",""ลำพูน!I292"")"),1000)</f>
        <v>1000</v>
      </c>
      <c r="J397" s="207">
        <f ca="1">IFERROR(__xludf.DUMMYFUNCTION("IMPORTRANGE(""https://docs.google.com/spreadsheets/d/11923uPwbBZFjjGgGUA6NLw09EwE0CqkOc4q9oUmW1yo/edit?usp=sharing"",""ลำพูน!J292"")"),0)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IFERROR(__xludf.DUMMYFUNCTION("IMPORTRANGE(""https://docs.google.com/spreadsheets/d/11923uPwbBZFjjGgGUA6NLw09EwE0CqkOc4q9oUmW1yo/edit?usp=sharing"",""ลำพูน!I293"")"),100)</f>
        <v>100</v>
      </c>
      <c r="J398" s="207">
        <f ca="1">IFERROR(__xludf.DUMMYFUNCTION("IMPORTRANGE(""https://docs.google.com/spreadsheets/d/11923uPwbBZFjjGgGUA6NLw09EwE0CqkOc4q9oUmW1yo/edit?usp=sharing"",""ลำพูน!J293"")"),0)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IFERROR(__xludf.DUMMYFUNCTION("IMPORTRANGE(""https://docs.google.com/spreadsheets/d/11923uPwbBZFjjGgGUA6NLw09EwE0CqkOc4q9oUmW1yo/edit?usp=sharing"",""ลำพูน!J294"")"),0)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IFERROR(__xludf.DUMMYFUNCTION("IMPORTRANGE(""https://docs.google.com/spreadsheets/d/11923uPwbBZFjjGgGUA6NLw09EwE0CqkOc4q9oUmW1yo/edit?usp=sharing"",""ลำพูน!J295"")"),0)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IFERROR(__xludf.DUMMYFUNCTION("IMPORTRANGE(""https://docs.google.com/spreadsheets/d/11923uPwbBZFjjGgGUA6NLw09EwE0CqkOc4q9oUmW1yo/edit?usp=sharing"",""ลำพูน!I296"")"),165)</f>
        <v>165</v>
      </c>
      <c r="J401" s="379">
        <f ca="1">IFERROR(__xludf.DUMMYFUNCTION("IMPORTRANGE(""https://docs.google.com/spreadsheets/d/11923uPwbBZFjjGgGUA6NLw09EwE0CqkOc4q9oUmW1yo/edit?usp=sharing"",""ลำพูน!J296"")"),0)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IFERROR(__xludf.DUMMYFUNCTION("IMPORTRANGE(""https://docs.google.com/spreadsheets/d/11923uPwbBZFjjGgGUA6NLw09EwE0CqkOc4q9oUmW1yo/edit?usp=sharing"",""ลำพูน!L296"")"),188190)</f>
        <v>188190</v>
      </c>
      <c r="M401" s="381"/>
      <c r="N401" s="381">
        <f ca="1">IFERROR(__xludf.DUMMYFUNCTION("IMPORTRANGE(""https://docs.google.com/spreadsheets/d/11923uPwbBZFjjGgGUA6NLw09EwE0CqkOc4q9oUmW1yo/edit?usp=sharing"",""ลำพูน!M296"")"),12510)</f>
        <v>12510</v>
      </c>
      <c r="O401" s="381">
        <f ca="1">+IF(L401&gt;0,N401*100/L401,0)</f>
        <v>6.6475370636059301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IFERROR(__xludf.DUMMYFUNCTION("IMPORTRANGE(""https://docs.google.com/spreadsheets/d/11923uPwbBZFjjGgGUA6NLw09EwE0CqkOc4q9oUmW1yo/edit?usp=sharing"",""ลำพูน!I297"")"),55)</f>
        <v>55</v>
      </c>
      <c r="J402" s="379">
        <f ca="1">IFERROR(__xludf.DUMMYFUNCTION("IMPORTRANGE(""https://docs.google.com/spreadsheets/d/11923uPwbBZFjjGgGUA6NLw09EwE0CqkOc4q9oUmW1yo/edit?usp=sharing"",""ลำพูน!J297"")"),0)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IFERROR(__xludf.DUMMYFUNCTION("IMPORTRANGE(""https://docs.google.com/spreadsheets/d/11923uPwbBZFjjGgGUA6NLw09EwE0CqkOc4q9oUmW1yo/edit?usp=sharing"",""ลำพูน!L298"")"),0)</f>
        <v>0</v>
      </c>
      <c r="M403" s="172"/>
      <c r="N403" s="178">
        <f ca="1">IFERROR(__xludf.DUMMYFUNCTION("IMPORTRANGE(""https://docs.google.com/spreadsheets/d/11923uPwbBZFjjGgGUA6NLw09EwE0CqkOc4q9oUmW1yo/edit?usp=sharing"",""ลำพูน!M298"")"),0)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IFERROR(__xludf.DUMMYFUNCTION("IMPORTRANGE(""https://docs.google.com/spreadsheets/d/11923uPwbBZFjjGgGUA6NLw09EwE0CqkOc4q9oUmW1yo/edit?usp=sharing"",""ลำพูน!L299"")"),188190)</f>
        <v>188190</v>
      </c>
      <c r="M404" s="173"/>
      <c r="N404" s="178">
        <f ca="1">IFERROR(__xludf.DUMMYFUNCTION("IMPORTRANGE(""https://docs.google.com/spreadsheets/d/11923uPwbBZFjjGgGUA6NLw09EwE0CqkOc4q9oUmW1yo/edit?usp=sharing"",""ลำพูน!M299"")"),12510)</f>
        <v>12510</v>
      </c>
      <c r="O404" s="178">
        <f t="shared" ca="1" si="112"/>
        <v>6.6475370636059301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IFERROR(__xludf.DUMMYFUNCTION("IMPORTRANGE(""https://docs.google.com/spreadsheets/d/11923uPwbBZFjjGgGUA6NLw09EwE0CqkOc4q9oUmW1yo/edit?usp=sharing"",""ลำพูน!L300"")"),0)</f>
        <v>0</v>
      </c>
      <c r="M405" s="178"/>
      <c r="N405" s="178">
        <f ca="1">IFERROR(__xludf.DUMMYFUNCTION("IMPORTRANGE(""https://docs.google.com/spreadsheets/d/11923uPwbBZFjjGgGUA6NLw09EwE0CqkOc4q9oUmW1yo/edit?usp=sharing"",""ลำพูน!M300"")"),0)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IFERROR(__xludf.DUMMYFUNCTION("IMPORTRANGE(""https://docs.google.com/spreadsheets/d/11923uPwbBZFjjGgGUA6NLw09EwE0CqkOc4q9oUmW1yo/edit?usp=sharing"",""ลำพูน!L301"")"),188190)</f>
        <v>188190</v>
      </c>
      <c r="M406" s="178"/>
      <c r="N406" s="178">
        <f ca="1">IFERROR(__xludf.DUMMYFUNCTION("IMPORTRANGE(""https://docs.google.com/spreadsheets/d/11923uPwbBZFjjGgGUA6NLw09EwE0CqkOc4q9oUmW1yo/edit?usp=sharing"",""ลำพูน!M301"")"),12510)</f>
        <v>12510</v>
      </c>
      <c r="O406" s="178">
        <f t="shared" ca="1" si="112"/>
        <v>6.6475370636059301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IFERROR(__xludf.DUMMYFUNCTION("IMPORTRANGE(""https://docs.google.com/spreadsheets/d/11923uPwbBZFjjGgGUA6NLw09EwE0CqkOc4q9oUmW1yo/edit?usp=sharing"",""ลำพูน!M302"")"),12510)</f>
        <v>12510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IFERROR(__xludf.DUMMYFUNCTION("IMPORTRANGE(""https://docs.google.com/spreadsheets/d/11923uPwbBZFjjGgGUA6NLw09EwE0CqkOc4q9oUmW1yo/edit?usp=sharing"",""ลำพูน!M303"")"),0)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IFERROR(__xludf.DUMMYFUNCTION("IMPORTRANGE(""https://docs.google.com/spreadsheets/d/11923uPwbBZFjjGgGUA6NLw09EwE0CqkOc4q9oUmW1yo/edit?usp=sharing"",""ลำพูน!M304"")"),0)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IFERROR(__xludf.DUMMYFUNCTION("IMPORTRANGE(""https://docs.google.com/spreadsheets/d/11923uPwbBZFjjGgGUA6NLw09EwE0CqkOc4q9oUmW1yo/edit?usp=sharing"",""ลำพูน!M305"")"),0)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IFERROR(__xludf.DUMMYFUNCTION("IMPORTRANGE(""https://docs.google.com/spreadsheets/d/11923uPwbBZFjjGgGUA6NLw09EwE0CqkOc4q9oUmW1yo/edit?usp=sharing"",""ลำพูน!J307"")"),0)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IFERROR(__xludf.DUMMYFUNCTION("IMPORTRANGE(""https://docs.google.com/spreadsheets/d/11923uPwbBZFjjGgGUA6NLw09EwE0CqkOc4q9oUmW1yo/edit?usp=sharing"",""ลำพูน!J308"")"),1)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IFERROR(__xludf.DUMMYFUNCTION("IMPORTRANGE(""https://docs.google.com/spreadsheets/d/11923uPwbBZFjjGgGUA6NLw09EwE0CqkOc4q9oUmW1yo/edit?usp=sharing"",""ลำพูน!J309"")"),1)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IFERROR(__xludf.DUMMYFUNCTION("IMPORTRANGE(""https://docs.google.com/spreadsheets/d/11923uPwbBZFjjGgGUA6NLw09EwE0CqkOc4q9oUmW1yo/edit?usp=sharing"",""ลำพูน!J310"")"),1)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IFERROR(__xludf.DUMMYFUNCTION("IMPORTRANGE(""https://docs.google.com/spreadsheets/d/11923uPwbBZFjjGgGUA6NLw09EwE0CqkOc4q9oUmW1yo/edit?usp=sharing"",""ลำพูน!I311"")"),55)</f>
        <v>55</v>
      </c>
      <c r="J416" s="210">
        <f ca="1">IFERROR(__xludf.DUMMYFUNCTION("IMPORTRANGE(""https://docs.google.com/spreadsheets/d/11923uPwbBZFjjGgGUA6NLw09EwE0CqkOc4q9oUmW1yo/edit?usp=sharing"",""ลำพูน!J311"")"),0)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IFERROR(__xludf.DUMMYFUNCTION("IMPORTRANGE(""https://docs.google.com/spreadsheets/d/11923uPwbBZFjjGgGUA6NLw09EwE0CqkOc4q9oUmW1yo/edit?usp=sharing"",""ลำพูน!I312"")"),10)</f>
        <v>10</v>
      </c>
      <c r="J417" s="400">
        <f ca="1">IFERROR(__xludf.DUMMYFUNCTION("IMPORTRANGE(""https://docs.google.com/spreadsheets/d/11923uPwbBZFjjGgGUA6NLw09EwE0CqkOc4q9oUmW1yo/edit?usp=sharing"",""ลำพูน!J312"")"),0)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IFERROR(__xludf.DUMMYFUNCTION("IMPORTRANGE(""https://docs.google.com/spreadsheets/d/11923uPwbBZFjjGgGUA6NLw09EwE0CqkOc4q9oUmW1yo/edit?usp=sharing"",""ลำพูน!I313"")"),30)</f>
        <v>30</v>
      </c>
      <c r="J418" s="401">
        <f ca="1">IFERROR(__xludf.DUMMYFUNCTION("IMPORTRANGE(""https://docs.google.com/spreadsheets/d/11923uPwbBZFjjGgGUA6NLw09EwE0CqkOc4q9oUmW1yo/edit?usp=sharing"",""ลำพูน!J313"")"),0)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IFERROR(__xludf.DUMMYFUNCTION("IMPORTRANGE(""https://docs.google.com/spreadsheets/d/11923uPwbBZFjjGgGUA6NLw09EwE0CqkOc4q9oUmW1yo/edit?usp=sharing"",""ลำพูน!I314"")"),10)</f>
        <v>10</v>
      </c>
      <c r="J419" s="402">
        <f ca="1">IFERROR(__xludf.DUMMYFUNCTION("IMPORTRANGE(""https://docs.google.com/spreadsheets/d/11923uPwbBZFjjGgGUA6NLw09EwE0CqkOc4q9oUmW1yo/edit?usp=sharing"",""ลำพูน!J314"")"),0)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IFERROR(__xludf.DUMMYFUNCTION("IMPORTRANGE(""https://docs.google.com/spreadsheets/d/11923uPwbBZFjjGgGUA6NLw09EwE0CqkOc4q9oUmW1yo/edit?usp=sharing"",""ลำพูน!I315"")"),10)</f>
        <v>10</v>
      </c>
      <c r="J420" s="402">
        <f ca="1">IFERROR(__xludf.DUMMYFUNCTION("IMPORTRANGE(""https://docs.google.com/spreadsheets/d/11923uPwbBZFjjGgGUA6NLw09EwE0CqkOc4q9oUmW1yo/edit?usp=sharing"",""ลำพูน!J315"")"),0)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IFERROR(__xludf.DUMMYFUNCTION("IMPORTRANGE(""https://docs.google.com/spreadsheets/d/11923uPwbBZFjjGgGUA6NLw09EwE0CqkOc4q9oUmW1yo/edit?usp=sharing"",""ลำพูน!I316"")"),35)</f>
        <v>35</v>
      </c>
      <c r="J421" s="400">
        <f ca="1">IFERROR(__xludf.DUMMYFUNCTION("IMPORTRANGE(""https://docs.google.com/spreadsheets/d/11923uPwbBZFjjGgGUA6NLw09EwE0CqkOc4q9oUmW1yo/edit?usp=sharing"",""ลำพูน!J316"")"),0)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IFERROR(__xludf.DUMMYFUNCTION("IMPORTRANGE(""https://docs.google.com/spreadsheets/d/11923uPwbBZFjjGgGUA6NLw09EwE0CqkOc4q9oUmW1yo/edit?usp=sharing"",""ลำพูน!I317"")"),105)</f>
        <v>105</v>
      </c>
      <c r="J422" s="401">
        <f ca="1">IFERROR(__xludf.DUMMYFUNCTION("IMPORTRANGE(""https://docs.google.com/spreadsheets/d/11923uPwbBZFjjGgGUA6NLw09EwE0CqkOc4q9oUmW1yo/edit?usp=sharing"",""ลำพูน!J317"")"),0)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IFERROR(__xludf.DUMMYFUNCTION("IMPORTRANGE(""https://docs.google.com/spreadsheets/d/11923uPwbBZFjjGgGUA6NLw09EwE0CqkOc4q9oUmW1yo/edit?usp=sharing"",""ลำพูน!I318"")"),35)</f>
        <v>35</v>
      </c>
      <c r="J423" s="402">
        <f ca="1">IFERROR(__xludf.DUMMYFUNCTION("IMPORTRANGE(""https://docs.google.com/spreadsheets/d/11923uPwbBZFjjGgGUA6NLw09EwE0CqkOc4q9oUmW1yo/edit?usp=sharing"",""ลำพูน!J318"")"),0)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IFERROR(__xludf.DUMMYFUNCTION("IMPORTRANGE(""https://docs.google.com/spreadsheets/d/11923uPwbBZFjjGgGUA6NLw09EwE0CqkOc4q9oUmW1yo/edit?usp=sharing"",""ลำพูน!I319"")"),35)</f>
        <v>35</v>
      </c>
      <c r="J424" s="402">
        <f ca="1">IFERROR(__xludf.DUMMYFUNCTION("IMPORTRANGE(""https://docs.google.com/spreadsheets/d/11923uPwbBZFjjGgGUA6NLw09EwE0CqkOc4q9oUmW1yo/edit?usp=sharing"",""ลำพูน!J319"")"),0)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IFERROR(__xludf.DUMMYFUNCTION("IMPORTRANGE(""https://docs.google.com/spreadsheets/d/11923uPwbBZFjjGgGUA6NLw09EwE0CqkOc4q9oUmW1yo/edit?usp=sharing"",""ลำพูน!I320"")"),35)</f>
        <v>35</v>
      </c>
      <c r="J425" s="402">
        <f ca="1">IFERROR(__xludf.DUMMYFUNCTION("IMPORTRANGE(""https://docs.google.com/spreadsheets/d/11923uPwbBZFjjGgGUA6NLw09EwE0CqkOc4q9oUmW1yo/edit?usp=sharing"",""ลำพูน!J320"")"),0)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IFERROR(__xludf.DUMMYFUNCTION("IMPORTRANGE(""https://docs.google.com/spreadsheets/d/11923uPwbBZFjjGgGUA6NLw09EwE0CqkOc4q9oUmW1yo/edit?usp=sharing"",""ลำพูน!I321"")"),10)</f>
        <v>10</v>
      </c>
      <c r="J426" s="400">
        <f ca="1">IFERROR(__xludf.DUMMYFUNCTION("IMPORTRANGE(""https://docs.google.com/spreadsheets/d/11923uPwbBZFjjGgGUA6NLw09EwE0CqkOc4q9oUmW1yo/edit?usp=sharing"",""ลำพูน!J321"")"),0)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IFERROR(__xludf.DUMMYFUNCTION("IMPORTRANGE(""https://docs.google.com/spreadsheets/d/11923uPwbBZFjjGgGUA6NLw09EwE0CqkOc4q9oUmW1yo/edit?usp=sharing"",""ลำพูน!I322"")"),30)</f>
        <v>30</v>
      </c>
      <c r="J427" s="401">
        <f ca="1">IFERROR(__xludf.DUMMYFUNCTION("IMPORTRANGE(""https://docs.google.com/spreadsheets/d/11923uPwbBZFjjGgGUA6NLw09EwE0CqkOc4q9oUmW1yo/edit?usp=sharing"",""ลำพูน!J322"")"),0)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IFERROR(__xludf.DUMMYFUNCTION("IMPORTRANGE(""https://docs.google.com/spreadsheets/d/11923uPwbBZFjjGgGUA6NLw09EwE0CqkOc4q9oUmW1yo/edit?usp=sharing"",""ลำพูน!I323"")"),10)</f>
        <v>10</v>
      </c>
      <c r="J428" s="402">
        <f ca="1">IFERROR(__xludf.DUMMYFUNCTION("IMPORTRANGE(""https://docs.google.com/spreadsheets/d/11923uPwbBZFjjGgGUA6NLw09EwE0CqkOc4q9oUmW1yo/edit?usp=sharing"",""ลำพูน!J323"")"),10)</f>
        <v>10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IFERROR(__xludf.DUMMYFUNCTION("IMPORTRANGE(""https://docs.google.com/spreadsheets/d/11923uPwbBZFjjGgGUA6NLw09EwE0CqkOc4q9oUmW1yo/edit?usp=sharing"",""ลำพูน!I324"")"),10)</f>
        <v>10</v>
      </c>
      <c r="J429" s="402">
        <f ca="1">IFERROR(__xludf.DUMMYFUNCTION("IMPORTRANGE(""https://docs.google.com/spreadsheets/d/11923uPwbBZFjjGgGUA6NLw09EwE0CqkOc4q9oUmW1yo/edit?usp=sharing"",""ลำพูน!J324"")"),0)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IFERROR(__xludf.DUMMYFUNCTION("IMPORTRANGE(""https://docs.google.com/spreadsheets/d/11923uPwbBZFjjGgGUA6NLw09EwE0CqkOc4q9oUmW1yo/edit?usp=sharing"",""ลำพูน!I325"")"),45)</f>
        <v>45</v>
      </c>
      <c r="J430" s="400">
        <f ca="1">IFERROR(__xludf.DUMMYFUNCTION("IMPORTRANGE(""https://docs.google.com/spreadsheets/d/11923uPwbBZFjjGgGUA6NLw09EwE0CqkOc4q9oUmW1yo/edit?usp=sharing"",""ลำพูน!J325"")"),0)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IFERROR(__xludf.DUMMYFUNCTION("IMPORTRANGE(""https://docs.google.com/spreadsheets/d/11923uPwbBZFjjGgGUA6NLw09EwE0CqkOc4q9oUmW1yo/edit?usp=sharing"",""ลำพูน!I326"")"),10)</f>
        <v>10</v>
      </c>
      <c r="J431" s="402">
        <f ca="1">IFERROR(__xludf.DUMMYFUNCTION("IMPORTRANGE(""https://docs.google.com/spreadsheets/d/11923uPwbBZFjjGgGUA6NLw09EwE0CqkOc4q9oUmW1yo/edit?usp=sharing"",""ลำพูน!J326"")"),0)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IFERROR(__xludf.DUMMYFUNCTION("IMPORTRANGE(""https://docs.google.com/spreadsheets/d/11923uPwbBZFjjGgGUA6NLw09EwE0CqkOc4q9oUmW1yo/edit?usp=sharing"",""ลำพูน!I327"")"),35)</f>
        <v>35</v>
      </c>
      <c r="J432" s="402">
        <f ca="1">IFERROR(__xludf.DUMMYFUNCTION("IMPORTRANGE(""https://docs.google.com/spreadsheets/d/11923uPwbBZFjjGgGUA6NLw09EwE0CqkOc4q9oUmW1yo/edit?usp=sharing"",""ลำพูน!J327"")"),0)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IFERROR(__xludf.DUMMYFUNCTION("IMPORTRANGE(""https://docs.google.com/spreadsheets/d/11923uPwbBZFjjGgGUA6NLw09EwE0CqkOc4q9oUmW1yo/edit?usp=sharing"",""ลำพูน!J328"")"),0)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IFERROR(__xludf.DUMMYFUNCTION("IMPORTRANGE(""https://docs.google.com/spreadsheets/d/11923uPwbBZFjjGgGUA6NLw09EwE0CqkOc4q9oUmW1yo/edit?usp=sharing"",""ลำพูน!J329"")"),0)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IFERROR(__xludf.DUMMYFUNCTION("IMPORTRANGE(""https://docs.google.com/spreadsheets/d/11923uPwbBZFjjGgGUA6NLw09EwE0CqkOc4q9oUmW1yo/edit?usp=sharing"",""ลำพูน!I330"")"),20)</f>
        <v>20</v>
      </c>
      <c r="J435" s="418">
        <f ca="1">IFERROR(__xludf.DUMMYFUNCTION("IMPORTRANGE(""https://docs.google.com/spreadsheets/d/11923uPwbBZFjjGgGUA6NLw09EwE0CqkOc4q9oUmW1yo/edit?usp=sharing"",""ลำพูน!J330"")"),0)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IFERROR(__xludf.DUMMYFUNCTION("IMPORTRANGE(""https://docs.google.com/spreadsheets/d/11923uPwbBZFjjGgGUA6NLw09EwE0CqkOc4q9oUmW1yo/edit?usp=sharing"",""ลำพูน!L330"")"),95000)</f>
        <v>95000</v>
      </c>
      <c r="M435" s="420"/>
      <c r="N435" s="420">
        <f ca="1">IFERROR(__xludf.DUMMYFUNCTION("IMPORTRANGE(""https://docs.google.com/spreadsheets/d/11923uPwbBZFjjGgGUA6NLw09EwE0CqkOc4q9oUmW1yo/edit?usp=sharing"",""ลำพูน!M330"")"),0)</f>
        <v>0</v>
      </c>
      <c r="O435" s="420">
        <f t="shared" ref="O435:O439" ca="1" si="114">+IF(L435&gt;0,N435*100/L435,0)</f>
        <v>0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IFERROR(__xludf.DUMMYFUNCTION("IMPORTRANGE(""https://docs.google.com/spreadsheets/d/11923uPwbBZFjjGgGUA6NLw09EwE0CqkOc4q9oUmW1yo/edit?usp=sharing"",""ลำพูน!L331"")"),0)</f>
        <v>0</v>
      </c>
      <c r="M436" s="172"/>
      <c r="N436" s="178">
        <f ca="1">IFERROR(__xludf.DUMMYFUNCTION("IMPORTRANGE(""https://docs.google.com/spreadsheets/d/11923uPwbBZFjjGgGUA6NLw09EwE0CqkOc4q9oUmW1yo/edit?usp=sharing"",""ลำพูน!M331"")"),0)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IFERROR(__xludf.DUMMYFUNCTION("IMPORTRANGE(""https://docs.google.com/spreadsheets/d/11923uPwbBZFjjGgGUA6NLw09EwE0CqkOc4q9oUmW1yo/edit?usp=sharing"",""ลำพูน!L332"")"),95000)</f>
        <v>95000</v>
      </c>
      <c r="M437" s="173"/>
      <c r="N437" s="178">
        <f ca="1">IFERROR(__xludf.DUMMYFUNCTION("IMPORTRANGE(""https://docs.google.com/spreadsheets/d/11923uPwbBZFjjGgGUA6NLw09EwE0CqkOc4q9oUmW1yo/edit?usp=sharing"",""ลำพูน!M332"")"),0)</f>
        <v>0</v>
      </c>
      <c r="O437" s="178">
        <f t="shared" ca="1" si="114"/>
        <v>0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IFERROR(__xludf.DUMMYFUNCTION("IMPORTRANGE(""https://docs.google.com/spreadsheets/d/11923uPwbBZFjjGgGUA6NLw09EwE0CqkOc4q9oUmW1yo/edit?usp=sharing"",""ลำพูน!L333"")"),0)</f>
        <v>0</v>
      </c>
      <c r="M438" s="178"/>
      <c r="N438" s="178">
        <f ca="1">IFERROR(__xludf.DUMMYFUNCTION("IMPORTRANGE(""https://docs.google.com/spreadsheets/d/11923uPwbBZFjjGgGUA6NLw09EwE0CqkOc4q9oUmW1yo/edit?usp=sharing"",""ลำพูน!M333"")"),0)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IFERROR(__xludf.DUMMYFUNCTION("IMPORTRANGE(""https://docs.google.com/spreadsheets/d/11923uPwbBZFjjGgGUA6NLw09EwE0CqkOc4q9oUmW1yo/edit?usp=sharing"",""ลำพูน!L334"")"),95000)</f>
        <v>95000</v>
      </c>
      <c r="M439" s="178"/>
      <c r="N439" s="178">
        <f ca="1">IFERROR(__xludf.DUMMYFUNCTION("IMPORTRANGE(""https://docs.google.com/spreadsheets/d/11923uPwbBZFjjGgGUA6NLw09EwE0CqkOc4q9oUmW1yo/edit?usp=sharing"",""ลำพูน!M334"")"),0)</f>
        <v>0</v>
      </c>
      <c r="O439" s="178">
        <f t="shared" ca="1" si="114"/>
        <v>0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IFERROR(__xludf.DUMMYFUNCTION("IMPORTRANGE(""https://docs.google.com/spreadsheets/d/11923uPwbBZFjjGgGUA6NLw09EwE0CqkOc4q9oUmW1yo/edit?usp=sharing"",""ลำพูน!M335"")"),0)</f>
        <v>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IFERROR(__xludf.DUMMYFUNCTION("IMPORTRANGE(""https://docs.google.com/spreadsheets/d/11923uPwbBZFjjGgGUA6NLw09EwE0CqkOc4q9oUmW1yo/edit?usp=sharing"",""ลำพูน!M336"")"),0)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IFERROR(__xludf.DUMMYFUNCTION("IMPORTRANGE(""https://docs.google.com/spreadsheets/d/11923uPwbBZFjjGgGUA6NLw09EwE0CqkOc4q9oUmW1yo/edit?usp=sharing"",""ลำพูน!M337"")"),0)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IFERROR(__xludf.DUMMYFUNCTION("IMPORTRANGE(""https://docs.google.com/spreadsheets/d/11923uPwbBZFjjGgGUA6NLw09EwE0CqkOc4q9oUmW1yo/edit?usp=sharing"",""ลำพูน!M338"")"),0)</f>
        <v>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IFERROR(__xludf.DUMMYFUNCTION("IMPORTRANGE(""https://docs.google.com/spreadsheets/d/11923uPwbBZFjjGgGUA6NLw09EwE0CqkOc4q9oUmW1yo/edit?usp=sharing"",""ลำพูน!J340"")"),0)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IFERROR(__xludf.DUMMYFUNCTION("IMPORTRANGE(""https://docs.google.com/spreadsheets/d/11923uPwbBZFjjGgGUA6NLw09EwE0CqkOc4q9oUmW1yo/edit?usp=sharing"",""ลำพูน!J341"")"),1)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IFERROR(__xludf.DUMMYFUNCTION("IMPORTRANGE(""https://docs.google.com/spreadsheets/d/11923uPwbBZFjjGgGUA6NLw09EwE0CqkOc4q9oUmW1yo/edit?usp=sharing"",""ลำพูน!J342"")"),1)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IFERROR(__xludf.DUMMYFUNCTION("IMPORTRANGE(""https://docs.google.com/spreadsheets/d/11923uPwbBZFjjGgGUA6NLw09EwE0CqkOc4q9oUmW1yo/edit?usp=sharing"",""ลำพูน!J343"")"),0)</f>
        <v>0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IFERROR(__xludf.DUMMYFUNCTION("IMPORTRANGE(""https://docs.google.com/spreadsheets/d/11923uPwbBZFjjGgGUA6NLw09EwE0CqkOc4q9oUmW1yo/edit?usp=sharing"",""ลำพูน!I344"")"),20)</f>
        <v>20</v>
      </c>
      <c r="J449" s="210">
        <f ca="1">IFERROR(__xludf.DUMMYFUNCTION("IMPORTRANGE(""https://docs.google.com/spreadsheets/d/11923uPwbBZFjjGgGUA6NLw09EwE0CqkOc4q9oUmW1yo/edit?usp=sharing"",""ลำพูน!J344"")"),0)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IFERROR(__xludf.DUMMYFUNCTION("IMPORTRANGE(""https://docs.google.com/spreadsheets/d/11923uPwbBZFjjGgGUA6NLw09EwE0CqkOc4q9oUmW1yo/edit?usp=sharing"",""ลำพูน!I345"")"),20)</f>
        <v>20</v>
      </c>
      <c r="J450" s="198">
        <f ca="1">IFERROR(__xludf.DUMMYFUNCTION("IMPORTRANGE(""https://docs.google.com/spreadsheets/d/11923uPwbBZFjjGgGUA6NLw09EwE0CqkOc4q9oUmW1yo/edit?usp=sharing"",""ลำพูน!J345"")"),0)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IFERROR(__xludf.DUMMYFUNCTION("IMPORTRANGE(""https://docs.google.com/spreadsheets/d/11923uPwbBZFjjGgGUA6NLw09EwE0CqkOc4q9oUmW1yo/edit?usp=sharing"",""ลำพูน!I346"")"),0)</f>
        <v>0</v>
      </c>
      <c r="J451" s="197">
        <f ca="1">IFERROR(__xludf.DUMMYFUNCTION("IMPORTRANGE(""https://docs.google.com/spreadsheets/d/11923uPwbBZFjjGgGUA6NLw09EwE0CqkOc4q9oUmW1yo/edit?usp=sharing"",""ลำพูน!J346"")"),0)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IFERROR(__xludf.DUMMYFUNCTION("IMPORTRANGE(""https://docs.google.com/spreadsheets/d/11923uPwbBZFjjGgGUA6NLw09EwE0CqkOc4q9oUmW1yo/edit?usp=sharing"",""ลำพูน!I347"")"),0)</f>
        <v>0</v>
      </c>
      <c r="J452" s="197">
        <f ca="1">IFERROR(__xludf.DUMMYFUNCTION("IMPORTRANGE(""https://docs.google.com/spreadsheets/d/11923uPwbBZFjjGgGUA6NLw09EwE0CqkOc4q9oUmW1yo/edit?usp=sharing"",""ลำพูน!J347"")"),0)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IFERROR(__xludf.DUMMYFUNCTION("IMPORTRANGE(""https://docs.google.com/spreadsheets/d/11923uPwbBZFjjGgGUA6NLw09EwE0CqkOc4q9oUmW1yo/edit?usp=sharing"",""ลำพูน!J348"")"),0)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IFERROR(__xludf.DUMMYFUNCTION("IMPORTRANGE(""https://docs.google.com/spreadsheets/d/11923uPwbBZFjjGgGUA6NLw09EwE0CqkOc4q9oUmW1yo/edit?usp=sharing"",""ลำพูน!J349"")"),0)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IFERROR(__xludf.DUMMYFUNCTION("IMPORTRANGE(""https://docs.google.com/spreadsheets/d/11923uPwbBZFjjGgGUA6NLw09EwE0CqkOc4q9oUmW1yo/edit?usp=sharing"",""ลำพูน!I350"")"),38193)</f>
        <v>38193</v>
      </c>
      <c r="J455" s="379">
        <f ca="1">IFERROR(__xludf.DUMMYFUNCTION("IMPORTRANGE(""https://docs.google.com/spreadsheets/d/11923uPwbBZFjjGgGUA6NLw09EwE0CqkOc4q9oUmW1yo/edit?usp=sharing"",""ลำพูน!J350"")"),0)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IFERROR(__xludf.DUMMYFUNCTION("IMPORTRANGE(""https://docs.google.com/spreadsheets/d/11923uPwbBZFjjGgGUA6NLw09EwE0CqkOc4q9oUmW1yo/edit?usp=sharing"",""ลำพูน!L350"")"),447250)</f>
        <v>447250</v>
      </c>
      <c r="M455" s="381"/>
      <c r="N455" s="381">
        <f ca="1">IFERROR(__xludf.DUMMYFUNCTION("IMPORTRANGE(""https://docs.google.com/spreadsheets/d/11923uPwbBZFjjGgGUA6NLw09EwE0CqkOc4q9oUmW1yo/edit?usp=sharing"",""ลำพูน!M350"")"),44000)</f>
        <v>44000</v>
      </c>
      <c r="O455" s="381">
        <f t="shared" ref="O455:O459" ca="1" si="116">+IF(L455&gt;0,N455*100/L455,0)</f>
        <v>9.8378982671883737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IFERROR(__xludf.DUMMYFUNCTION("IMPORTRANGE(""https://docs.google.com/spreadsheets/d/11923uPwbBZFjjGgGUA6NLw09EwE0CqkOc4q9oUmW1yo/edit?usp=sharing"",""ลำพูน!L351"")"),0)</f>
        <v>0</v>
      </c>
      <c r="M456" s="172"/>
      <c r="N456" s="178">
        <f ca="1">IFERROR(__xludf.DUMMYFUNCTION("IMPORTRANGE(""https://docs.google.com/spreadsheets/d/11923uPwbBZFjjGgGUA6NLw09EwE0CqkOc4q9oUmW1yo/edit?usp=sharing"",""ลำพูน!M351"")"),0)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IFERROR(__xludf.DUMMYFUNCTION("IMPORTRANGE(""https://docs.google.com/spreadsheets/d/11923uPwbBZFjjGgGUA6NLw09EwE0CqkOc4q9oUmW1yo/edit?usp=sharing"",""ลำพูน!L352"")"),447250)</f>
        <v>447250</v>
      </c>
      <c r="M457" s="173"/>
      <c r="N457" s="178">
        <f ca="1">IFERROR(__xludf.DUMMYFUNCTION("IMPORTRANGE(""https://docs.google.com/spreadsheets/d/11923uPwbBZFjjGgGUA6NLw09EwE0CqkOc4q9oUmW1yo/edit?usp=sharing"",""ลำพูน!M352"")"),44000)</f>
        <v>44000</v>
      </c>
      <c r="O457" s="178">
        <f t="shared" ca="1" si="116"/>
        <v>9.8378982671883737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IFERROR(__xludf.DUMMYFUNCTION("IMPORTRANGE(""https://docs.google.com/spreadsheets/d/11923uPwbBZFjjGgGUA6NLw09EwE0CqkOc4q9oUmW1yo/edit?usp=sharing"",""ลำพูน!L353"")"),0)</f>
        <v>0</v>
      </c>
      <c r="M458" s="178"/>
      <c r="N458" s="178">
        <f ca="1">IFERROR(__xludf.DUMMYFUNCTION("IMPORTRANGE(""https://docs.google.com/spreadsheets/d/11923uPwbBZFjjGgGUA6NLw09EwE0CqkOc4q9oUmW1yo/edit?usp=sharing"",""ลำพูน!M353"")"),0)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IFERROR(__xludf.DUMMYFUNCTION("IMPORTRANGE(""https://docs.google.com/spreadsheets/d/11923uPwbBZFjjGgGUA6NLw09EwE0CqkOc4q9oUmW1yo/edit?usp=sharing"",""ลำพูน!L354"")"),447250)</f>
        <v>447250</v>
      </c>
      <c r="M459" s="178"/>
      <c r="N459" s="178">
        <f ca="1">IFERROR(__xludf.DUMMYFUNCTION("IMPORTRANGE(""https://docs.google.com/spreadsheets/d/11923uPwbBZFjjGgGUA6NLw09EwE0CqkOc4q9oUmW1yo/edit?usp=sharing"",""ลำพูน!M354"")"),44000)</f>
        <v>44000</v>
      </c>
      <c r="O459" s="178">
        <f t="shared" ca="1" si="116"/>
        <v>9.8378982671883737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IFERROR(__xludf.DUMMYFUNCTION("IMPORTRANGE(""https://docs.google.com/spreadsheets/d/11923uPwbBZFjjGgGUA6NLw09EwE0CqkOc4q9oUmW1yo/edit?usp=sharing"",""ลำพูน!M355"")"),0)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IFERROR(__xludf.DUMMYFUNCTION("IMPORTRANGE(""https://docs.google.com/spreadsheets/d/11923uPwbBZFjjGgGUA6NLw09EwE0CqkOc4q9oUmW1yo/edit?usp=sharing"",""ลำพูน!M356"")"),0)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IFERROR(__xludf.DUMMYFUNCTION("IMPORTRANGE(""https://docs.google.com/spreadsheets/d/11923uPwbBZFjjGgGUA6NLw09EwE0CqkOc4q9oUmW1yo/edit?usp=sharing"",""ลำพูน!M357"")"),44000)</f>
        <v>44000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IFERROR(__xludf.DUMMYFUNCTION("IMPORTRANGE(""https://docs.google.com/spreadsheets/d/11923uPwbBZFjjGgGUA6NLw09EwE0CqkOc4q9oUmW1yo/edit?usp=sharing"",""ลำพูน!M358"")"),0)</f>
        <v>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IFERROR(__xludf.DUMMYFUNCTION("IMPORTRANGE(""https://docs.google.com/spreadsheets/d/11923uPwbBZFjjGgGUA6NLw09EwE0CqkOc4q9oUmW1yo/edit?usp=sharing"",""ลำพูน!I359"")"),38193)</f>
        <v>38193</v>
      </c>
      <c r="J464" s="276">
        <f ca="1">IFERROR(__xludf.DUMMYFUNCTION("IMPORTRANGE(""https://docs.google.com/spreadsheets/d/11923uPwbBZFjjGgGUA6NLw09EwE0CqkOc4q9oUmW1yo/edit?usp=sharing"",""ลำพูน!J359"")"),0)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IFERROR(__xludf.DUMMYFUNCTION("IMPORTRANGE(""https://docs.google.com/spreadsheets/d/11923uPwbBZFjjGgGUA6NLw09EwE0CqkOc4q9oUmW1yo/edit?usp=sharing"",""ลำพูน!I360"")"),38193)</f>
        <v>38193</v>
      </c>
      <c r="J465" s="428">
        <f ca="1">IFERROR(__xludf.DUMMYFUNCTION("IMPORTRANGE(""https://docs.google.com/spreadsheets/d/11923uPwbBZFjjGgGUA6NLw09EwE0CqkOc4q9oUmW1yo/edit?usp=sharing"",""ลำพูน!J360"")"),0)</f>
        <v>0</v>
      </c>
      <c r="K465" s="211">
        <f t="shared" ca="1" si="117"/>
        <v>0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IFERROR(__xludf.DUMMYFUNCTION("IMPORTRANGE(""https://docs.google.com/spreadsheets/d/11923uPwbBZFjjGgGUA6NLw09EwE0CqkOc4q9oUmW1yo/edit?usp=sharing"",""ลำพูน!I361"")"),6424)</f>
        <v>6424</v>
      </c>
      <c r="J466" s="428">
        <f ca="1">IFERROR(__xludf.DUMMYFUNCTION("IMPORTRANGE(""https://docs.google.com/spreadsheets/d/11923uPwbBZFjjGgGUA6NLw09EwE0CqkOc4q9oUmW1yo/edit?usp=sharing"",""ลำพูน!J361"")"),0)</f>
        <v>0</v>
      </c>
      <c r="K466" s="211">
        <f t="shared" ca="1" si="117"/>
        <v>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IFERROR(__xludf.DUMMYFUNCTION("IMPORTRANGE(""https://docs.google.com/spreadsheets/d/11923uPwbBZFjjGgGUA6NLw09EwE0CqkOc4q9oUmW1yo/edit?usp=sharing"",""ลำพูน!I362"")"),0)</f>
        <v>0</v>
      </c>
      <c r="J467" s="198">
        <f ca="1">IFERROR(__xludf.DUMMYFUNCTION("IMPORTRANGE(""https://docs.google.com/spreadsheets/d/11923uPwbBZFjjGgGUA6NLw09EwE0CqkOc4q9oUmW1yo/edit?usp=sharing"",""ลำพูน!J362"")"),0)</f>
        <v>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IFERROR(__xludf.DUMMYFUNCTION("IMPORTRANGE(""https://docs.google.com/spreadsheets/d/11923uPwbBZFjjGgGUA6NLw09EwE0CqkOc4q9oUmW1yo/edit?usp=sharing"",""ลำพูน!I363"")"),0)</f>
        <v>0</v>
      </c>
      <c r="J468" s="198">
        <f ca="1">IFERROR(__xludf.DUMMYFUNCTION("IMPORTRANGE(""https://docs.google.com/spreadsheets/d/11923uPwbBZFjjGgGUA6NLw09EwE0CqkOc4q9oUmW1yo/edit?usp=sharing"",""ลำพูน!J363"")"),0)</f>
        <v>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IFERROR(__xludf.DUMMYFUNCTION("IMPORTRANGE(""https://docs.google.com/spreadsheets/d/11923uPwbBZFjjGgGUA6NLw09EwE0CqkOc4q9oUmW1yo/edit?usp=sharing"",""ลำพูน!I364"")"),0)</f>
        <v>0</v>
      </c>
      <c r="J469" s="198">
        <f ca="1">IFERROR(__xludf.DUMMYFUNCTION("IMPORTRANGE(""https://docs.google.com/spreadsheets/d/11923uPwbBZFjjGgGUA6NLw09EwE0CqkOc4q9oUmW1yo/edit?usp=sharing"",""ลำพูน!J364"")"),0)</f>
        <v>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IFERROR(__xludf.DUMMYFUNCTION("IMPORTRANGE(""https://docs.google.com/spreadsheets/d/11923uPwbBZFjjGgGUA6NLw09EwE0CqkOc4q9oUmW1yo/edit?usp=sharing"",""ลำพูน!I365"")"),0)</f>
        <v>0</v>
      </c>
      <c r="J470" s="198">
        <f ca="1">IFERROR(__xludf.DUMMYFUNCTION("IMPORTRANGE(""https://docs.google.com/spreadsheets/d/11923uPwbBZFjjGgGUA6NLw09EwE0CqkOc4q9oUmW1yo/edit?usp=sharing"",""ลำพูน!J365"")"),0)</f>
        <v>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IFERROR(__xludf.DUMMYFUNCTION("IMPORTRANGE(""https://docs.google.com/spreadsheets/d/11923uPwbBZFjjGgGUA6NLw09EwE0CqkOc4q9oUmW1yo/edit?usp=sharing"",""ลำพูน!I366"")"),0)</f>
        <v>0</v>
      </c>
      <c r="J471" s="198">
        <f ca="1">IFERROR(__xludf.DUMMYFUNCTION("IMPORTRANGE(""https://docs.google.com/spreadsheets/d/11923uPwbBZFjjGgGUA6NLw09EwE0CqkOc4q9oUmW1yo/edit?usp=sharing"",""ลำพูน!J366"")"),0)</f>
        <v>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IFERROR(__xludf.DUMMYFUNCTION("IMPORTRANGE(""https://docs.google.com/spreadsheets/d/11923uPwbBZFjjGgGUA6NLw09EwE0CqkOc4q9oUmW1yo/edit?usp=sharing"",""ลำพูน!I367"")"),0)</f>
        <v>0</v>
      </c>
      <c r="J472" s="198">
        <f ca="1">IFERROR(__xludf.DUMMYFUNCTION("IMPORTRANGE(""https://docs.google.com/spreadsheets/d/11923uPwbBZFjjGgGUA6NLw09EwE0CqkOc4q9oUmW1yo/edit?usp=sharing"",""ลำพูน!J367"")"),0)</f>
        <v>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IFERROR(__xludf.DUMMYFUNCTION("IMPORTRANGE(""https://docs.google.com/spreadsheets/d/11923uPwbBZFjjGgGUA6NLw09EwE0CqkOc4q9oUmW1yo/edit?usp=sharing"",""ลำพูน!I368"")"),38193)</f>
        <v>38193</v>
      </c>
      <c r="J473" s="428">
        <f ca="1">IFERROR(__xludf.DUMMYFUNCTION("IMPORTRANGE(""https://docs.google.com/spreadsheets/d/11923uPwbBZFjjGgGUA6NLw09EwE0CqkOc4q9oUmW1yo/edit?usp=sharing"",""ลำพูน!J368"")"),0)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IFERROR(__xludf.DUMMYFUNCTION("IMPORTRANGE(""https://docs.google.com/spreadsheets/d/11923uPwbBZFjjGgGUA6NLw09EwE0CqkOc4q9oUmW1yo/edit?usp=sharing"",""ลำพูน!I369"")"),6424)</f>
        <v>6424</v>
      </c>
      <c r="J474" s="428">
        <f ca="1">IFERROR(__xludf.DUMMYFUNCTION("IMPORTRANGE(""https://docs.google.com/spreadsheets/d/11923uPwbBZFjjGgGUA6NLw09EwE0CqkOc4q9oUmW1yo/edit?usp=sharing"",""ลำพูน!J369"")"),0)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IFERROR(__xludf.DUMMYFUNCTION("IMPORTRANGE(""https://docs.google.com/spreadsheets/d/11923uPwbBZFjjGgGUA6NLw09EwE0CqkOc4q9oUmW1yo/edit?usp=sharing"",""ลำพูน!I370"")"),0)</f>
        <v>0</v>
      </c>
      <c r="J475" s="198">
        <f ca="1">IFERROR(__xludf.DUMMYFUNCTION("IMPORTRANGE(""https://docs.google.com/spreadsheets/d/11923uPwbBZFjjGgGUA6NLw09EwE0CqkOc4q9oUmW1yo/edit?usp=sharing"",""ลำพูน!J370"")"),0)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IFERROR(__xludf.DUMMYFUNCTION("IMPORTRANGE(""https://docs.google.com/spreadsheets/d/11923uPwbBZFjjGgGUA6NLw09EwE0CqkOc4q9oUmW1yo/edit?usp=sharing"",""ลำพูน!I371"")"),0)</f>
        <v>0</v>
      </c>
      <c r="J476" s="198">
        <f ca="1">IFERROR(__xludf.DUMMYFUNCTION("IMPORTRANGE(""https://docs.google.com/spreadsheets/d/11923uPwbBZFjjGgGUA6NLw09EwE0CqkOc4q9oUmW1yo/edit?usp=sharing"",""ลำพูน!J371"")"),0)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IFERROR(__xludf.DUMMYFUNCTION("IMPORTRANGE(""https://docs.google.com/spreadsheets/d/11923uPwbBZFjjGgGUA6NLw09EwE0CqkOc4q9oUmW1yo/edit?usp=sharing"",""ลำพูน!I372"")"),0)</f>
        <v>0</v>
      </c>
      <c r="J477" s="198">
        <f ca="1">IFERROR(__xludf.DUMMYFUNCTION("IMPORTRANGE(""https://docs.google.com/spreadsheets/d/11923uPwbBZFjjGgGUA6NLw09EwE0CqkOc4q9oUmW1yo/edit?usp=sharing"",""ลำพูน!J372"")"),0)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IFERROR(__xludf.DUMMYFUNCTION("IMPORTRANGE(""https://docs.google.com/spreadsheets/d/11923uPwbBZFjjGgGUA6NLw09EwE0CqkOc4q9oUmW1yo/edit?usp=sharing"",""ลำพูน!I373"")"),0)</f>
        <v>0</v>
      </c>
      <c r="J478" s="198">
        <f ca="1">IFERROR(__xludf.DUMMYFUNCTION("IMPORTRANGE(""https://docs.google.com/spreadsheets/d/11923uPwbBZFjjGgGUA6NLw09EwE0CqkOc4q9oUmW1yo/edit?usp=sharing"",""ลำพูน!J373"")"),0)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IFERROR(__xludf.DUMMYFUNCTION("IMPORTRANGE(""https://docs.google.com/spreadsheets/d/11923uPwbBZFjjGgGUA6NLw09EwE0CqkOc4q9oUmW1yo/edit?usp=sharing"",""ลำพูน!I374"")"),0)</f>
        <v>0</v>
      </c>
      <c r="J479" s="198">
        <f ca="1">IFERROR(__xludf.DUMMYFUNCTION("IMPORTRANGE(""https://docs.google.com/spreadsheets/d/11923uPwbBZFjjGgGUA6NLw09EwE0CqkOc4q9oUmW1yo/edit?usp=sharing"",""ลำพูน!J374"")"),0)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IFERROR(__xludf.DUMMYFUNCTION("IMPORTRANGE(""https://docs.google.com/spreadsheets/d/11923uPwbBZFjjGgGUA6NLw09EwE0CqkOc4q9oUmW1yo/edit?usp=sharing"",""ลำพูน!I375"")"),0)</f>
        <v>0</v>
      </c>
      <c r="J480" s="198">
        <f ca="1">IFERROR(__xludf.DUMMYFUNCTION("IMPORTRANGE(""https://docs.google.com/spreadsheets/d/11923uPwbBZFjjGgGUA6NLw09EwE0CqkOc4q9oUmW1yo/edit?usp=sharing"",""ลำพูน!J375"")"),0)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IFERROR(__xludf.DUMMYFUNCTION("IMPORTRANGE(""https://docs.google.com/spreadsheets/d/11923uPwbBZFjjGgGUA6NLw09EwE0CqkOc4q9oUmW1yo/edit?usp=sharing"",""ลำพูน!I376"")"),38193)</f>
        <v>38193</v>
      </c>
      <c r="J481" s="428">
        <f ca="1">IFERROR(__xludf.DUMMYFUNCTION("IMPORTRANGE(""https://docs.google.com/spreadsheets/d/11923uPwbBZFjjGgGUA6NLw09EwE0CqkOc4q9oUmW1yo/edit?usp=sharing"",""ลำพูน!J376"")"),0)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IFERROR(__xludf.DUMMYFUNCTION("IMPORTRANGE(""https://docs.google.com/spreadsheets/d/11923uPwbBZFjjGgGUA6NLw09EwE0CqkOc4q9oUmW1yo/edit?usp=sharing"",""ลำพูน!I377"")"),6424)</f>
        <v>6424</v>
      </c>
      <c r="J482" s="428">
        <f ca="1">IFERROR(__xludf.DUMMYFUNCTION("IMPORTRANGE(""https://docs.google.com/spreadsheets/d/11923uPwbBZFjjGgGUA6NLw09EwE0CqkOc4q9oUmW1yo/edit?usp=sharing"",""ลำพูน!J377"")"),0)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IFERROR(__xludf.DUMMYFUNCTION("IMPORTRANGE(""https://docs.google.com/spreadsheets/d/11923uPwbBZFjjGgGUA6NLw09EwE0CqkOc4q9oUmW1yo/edit?usp=sharing"",""ลำพูน!I378"")"),0)</f>
        <v>0</v>
      </c>
      <c r="J483" s="198">
        <f ca="1">IFERROR(__xludf.DUMMYFUNCTION("IMPORTRANGE(""https://docs.google.com/spreadsheets/d/11923uPwbBZFjjGgGUA6NLw09EwE0CqkOc4q9oUmW1yo/edit?usp=sharing"",""ลำพูน!J378"")"),0)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IFERROR(__xludf.DUMMYFUNCTION("IMPORTRANGE(""https://docs.google.com/spreadsheets/d/11923uPwbBZFjjGgGUA6NLw09EwE0CqkOc4q9oUmW1yo/edit?usp=sharing"",""ลำพูน!I379"")"),0)</f>
        <v>0</v>
      </c>
      <c r="J484" s="198">
        <f ca="1">IFERROR(__xludf.DUMMYFUNCTION("IMPORTRANGE(""https://docs.google.com/spreadsheets/d/11923uPwbBZFjjGgGUA6NLw09EwE0CqkOc4q9oUmW1yo/edit?usp=sharing"",""ลำพูน!J379"")"),0)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IFERROR(__xludf.DUMMYFUNCTION("IMPORTRANGE(""https://docs.google.com/spreadsheets/d/11923uPwbBZFjjGgGUA6NLw09EwE0CqkOc4q9oUmW1yo/edit?usp=sharing"",""ลำพูน!I380"")"),0)</f>
        <v>0</v>
      </c>
      <c r="J485" s="198">
        <f ca="1">IFERROR(__xludf.DUMMYFUNCTION("IMPORTRANGE(""https://docs.google.com/spreadsheets/d/11923uPwbBZFjjGgGUA6NLw09EwE0CqkOc4q9oUmW1yo/edit?usp=sharing"",""ลำพูน!J380"")"),0)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IFERROR(__xludf.DUMMYFUNCTION("IMPORTRANGE(""https://docs.google.com/spreadsheets/d/11923uPwbBZFjjGgGUA6NLw09EwE0CqkOc4q9oUmW1yo/edit?usp=sharing"",""ลำพูน!I381"")"),0)</f>
        <v>0</v>
      </c>
      <c r="J486" s="198">
        <f ca="1">IFERROR(__xludf.DUMMYFUNCTION("IMPORTRANGE(""https://docs.google.com/spreadsheets/d/11923uPwbBZFjjGgGUA6NLw09EwE0CqkOc4q9oUmW1yo/edit?usp=sharing"",""ลำพูน!J381"")"),0)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IFERROR(__xludf.DUMMYFUNCTION("IMPORTRANGE(""https://docs.google.com/spreadsheets/d/11923uPwbBZFjjGgGUA6NLw09EwE0CqkOc4q9oUmW1yo/edit?usp=sharing"",""ลำพูน!I382"")"),0)</f>
        <v>0</v>
      </c>
      <c r="J487" s="428">
        <f ca="1">IFERROR(__xludf.DUMMYFUNCTION("IMPORTRANGE(""https://docs.google.com/spreadsheets/d/11923uPwbBZFjjGgGUA6NLw09EwE0CqkOc4q9oUmW1yo/edit?usp=sharing"",""ลำพูน!J382"")"),0)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IFERROR(__xludf.DUMMYFUNCTION("IMPORTRANGE(""https://docs.google.com/spreadsheets/d/11923uPwbBZFjjGgGUA6NLw09EwE0CqkOc4q9oUmW1yo/edit?usp=sharing"",""ลำพูน!I383"")"),0)</f>
        <v>0</v>
      </c>
      <c r="J488" s="428">
        <f ca="1">IFERROR(__xludf.DUMMYFUNCTION("IMPORTRANGE(""https://docs.google.com/spreadsheets/d/11923uPwbBZFjjGgGUA6NLw09EwE0CqkOc4q9oUmW1yo/edit?usp=sharing"",""ลำพูน!J383"")"),0)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IFERROR(__xludf.DUMMYFUNCTION("IMPORTRANGE(""https://docs.google.com/spreadsheets/d/11923uPwbBZFjjGgGUA6NLw09EwE0CqkOc4q9oUmW1yo/edit?usp=sharing"",""ลำพูน!I384"")"),0)</f>
        <v>0</v>
      </c>
      <c r="J489" s="198">
        <f ca="1">IFERROR(__xludf.DUMMYFUNCTION("IMPORTRANGE(""https://docs.google.com/spreadsheets/d/11923uPwbBZFjjGgGUA6NLw09EwE0CqkOc4q9oUmW1yo/edit?usp=sharing"",""ลำพูน!J384"")"),0)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IFERROR(__xludf.DUMMYFUNCTION("IMPORTRANGE(""https://docs.google.com/spreadsheets/d/11923uPwbBZFjjGgGUA6NLw09EwE0CqkOc4q9oUmW1yo/edit?usp=sharing"",""ลำพูน!I385"")"),0)</f>
        <v>0</v>
      </c>
      <c r="J490" s="198">
        <f ca="1">IFERROR(__xludf.DUMMYFUNCTION("IMPORTRANGE(""https://docs.google.com/spreadsheets/d/11923uPwbBZFjjGgGUA6NLw09EwE0CqkOc4q9oUmW1yo/edit?usp=sharing"",""ลำพูน!J385"")"),0)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IFERROR(__xludf.DUMMYFUNCTION("IMPORTRANGE(""https://docs.google.com/spreadsheets/d/11923uPwbBZFjjGgGUA6NLw09EwE0CqkOc4q9oUmW1yo/edit?usp=sharing"",""ลำพูน!I386"")"),0)</f>
        <v>0</v>
      </c>
      <c r="J491" s="198">
        <f ca="1">IFERROR(__xludf.DUMMYFUNCTION("IMPORTRANGE(""https://docs.google.com/spreadsheets/d/11923uPwbBZFjjGgGUA6NLw09EwE0CqkOc4q9oUmW1yo/edit?usp=sharing"",""ลำพูน!J386"")"),0)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IFERROR(__xludf.DUMMYFUNCTION("IMPORTRANGE(""https://docs.google.com/spreadsheets/d/11923uPwbBZFjjGgGUA6NLw09EwE0CqkOc4q9oUmW1yo/edit?usp=sharing"",""ลำพูน!I387"")"),0)</f>
        <v>0</v>
      </c>
      <c r="J492" s="198">
        <f ca="1">IFERROR(__xludf.DUMMYFUNCTION("IMPORTRANGE(""https://docs.google.com/spreadsheets/d/11923uPwbBZFjjGgGUA6NLw09EwE0CqkOc4q9oUmW1yo/edit?usp=sharing"",""ลำพูน!J387"")"),0)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IFERROR(__xludf.DUMMYFUNCTION("IMPORTRANGE(""https://docs.google.com/spreadsheets/d/11923uPwbBZFjjGgGUA6NLw09EwE0CqkOc4q9oUmW1yo/edit?usp=sharing"",""ลำพูน!I388"")"),0)</f>
        <v>0</v>
      </c>
      <c r="J493" s="198">
        <f ca="1">IFERROR(__xludf.DUMMYFUNCTION("IMPORTRANGE(""https://docs.google.com/spreadsheets/d/11923uPwbBZFjjGgGUA6NLw09EwE0CqkOc4q9oUmW1yo/edit?usp=sharing"",""ลำพูน!J388"")"),0)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IFERROR(__xludf.DUMMYFUNCTION("IMPORTRANGE(""https://docs.google.com/spreadsheets/d/11923uPwbBZFjjGgGUA6NLw09EwE0CqkOc4q9oUmW1yo/edit?usp=sharing"",""ลำพูน!I389"")"),0)</f>
        <v>0</v>
      </c>
      <c r="J494" s="444">
        <f ca="1">IFERROR(__xludf.DUMMYFUNCTION("IMPORTRANGE(""https://docs.google.com/spreadsheets/d/11923uPwbBZFjjGgGUA6NLw09EwE0CqkOc4q9oUmW1yo/edit?usp=sharing"",""ลำพูน!J389"")"),0)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IFERROR(__xludf.DUMMYFUNCTION("IMPORTRANGE(""https://docs.google.com/spreadsheets/d/11923uPwbBZFjjGgGUA6NLw09EwE0CqkOc4q9oUmW1yo/edit?usp=sharing"",""ลำพูน!I390"")"),0)</f>
        <v>0</v>
      </c>
      <c r="J495" s="444">
        <f ca="1">IFERROR(__xludf.DUMMYFUNCTION("IMPORTRANGE(""https://docs.google.com/spreadsheets/d/11923uPwbBZFjjGgGUA6NLw09EwE0CqkOc4q9oUmW1yo/edit?usp=sharing"",""ลำพูน!J390"")"),0)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IFERROR(__xludf.DUMMYFUNCTION("IMPORTRANGE(""https://docs.google.com/spreadsheets/d/11923uPwbBZFjjGgGUA6NLw09EwE0CqkOc4q9oUmW1yo/edit?usp=sharing"",""ลำพูน!I391"")"),0)</f>
        <v>0</v>
      </c>
      <c r="J496" s="444">
        <f ca="1">IFERROR(__xludf.DUMMYFUNCTION("IMPORTRANGE(""https://docs.google.com/spreadsheets/d/11923uPwbBZFjjGgGUA6NLw09EwE0CqkOc4q9oUmW1yo/edit?usp=sharing"",""ลำพูน!J391"")"),0)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IFERROR(__xludf.DUMMYFUNCTION("IMPORTRANGE(""https://docs.google.com/spreadsheets/d/11923uPwbBZFjjGgGUA6NLw09EwE0CqkOc4q9oUmW1yo/edit?usp=sharing"",""ลำพูน!I392"")"),143)</f>
        <v>143</v>
      </c>
      <c r="J497" s="451">
        <f ca="1">IFERROR(__xludf.DUMMYFUNCTION("IMPORTRANGE(""https://docs.google.com/spreadsheets/d/11923uPwbBZFjjGgGUA6NLw09EwE0CqkOc4q9oUmW1yo/edit?usp=sharing"",""ลำพูน!J392"")"),0)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IFERROR(__xludf.DUMMYFUNCTION("IMPORTRANGE(""https://docs.google.com/spreadsheets/d/11923uPwbBZFjjGgGUA6NLw09EwE0CqkOc4q9oUmW1yo/edit?usp=sharing"",""ลำพูน!I393"")"),143)</f>
        <v>143</v>
      </c>
      <c r="J498" s="428">
        <f ca="1">IFERROR(__xludf.DUMMYFUNCTION("IMPORTRANGE(""https://docs.google.com/spreadsheets/d/11923uPwbBZFjjGgGUA6NLw09EwE0CqkOc4q9oUmW1yo/edit?usp=sharing"",""ลำพูน!J393"")"),0)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IFERROR(__xludf.DUMMYFUNCTION("IMPORTRANGE(""https://docs.google.com/spreadsheets/d/11923uPwbBZFjjGgGUA6NLw09EwE0CqkOc4q9oUmW1yo/edit?usp=sharing"",""ลำพูน!I394"")"),18)</f>
        <v>18</v>
      </c>
      <c r="J499" s="428">
        <f ca="1">IFERROR(__xludf.DUMMYFUNCTION("IMPORTRANGE(""https://docs.google.com/spreadsheets/d/11923uPwbBZFjjGgGUA6NLw09EwE0CqkOc4q9oUmW1yo/edit?usp=sharing"",""ลำพูน!J394"")"),0)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IFERROR(__xludf.DUMMYFUNCTION("IMPORTRANGE(""https://docs.google.com/spreadsheets/d/11923uPwbBZFjjGgGUA6NLw09EwE0CqkOc4q9oUmW1yo/edit?usp=sharing"",""ลำพูน!I395"")"),0)</f>
        <v>0</v>
      </c>
      <c r="J500" s="170">
        <f ca="1">IFERROR(__xludf.DUMMYFUNCTION("IMPORTRANGE(""https://docs.google.com/spreadsheets/d/11923uPwbBZFjjGgGUA6NLw09EwE0CqkOc4q9oUmW1yo/edit?usp=sharing"",""ลำพูน!J395"")"),0)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IFERROR(__xludf.DUMMYFUNCTION("IMPORTRANGE(""https://docs.google.com/spreadsheets/d/11923uPwbBZFjjGgGUA6NLw09EwE0CqkOc4q9oUmW1yo/edit?usp=sharing"",""ลำพูน!I396"")"),0)</f>
        <v>0</v>
      </c>
      <c r="J501" s="170">
        <f ca="1">IFERROR(__xludf.DUMMYFUNCTION("IMPORTRANGE(""https://docs.google.com/spreadsheets/d/11923uPwbBZFjjGgGUA6NLw09EwE0CqkOc4q9oUmW1yo/edit?usp=sharing"",""ลำพูน!J396"")"),0)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IFERROR(__xludf.DUMMYFUNCTION("IMPORTRANGE(""https://docs.google.com/spreadsheets/d/11923uPwbBZFjjGgGUA6NLw09EwE0CqkOc4q9oUmW1yo/edit?usp=sharing"",""ลำพูน!I397"")"),0)</f>
        <v>0</v>
      </c>
      <c r="J502" s="198">
        <f ca="1">IFERROR(__xludf.DUMMYFUNCTION("IMPORTRANGE(""https://docs.google.com/spreadsheets/d/11923uPwbBZFjjGgGUA6NLw09EwE0CqkOc4q9oUmW1yo/edit?usp=sharing"",""ลำพูน!J397"")"),0)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IFERROR(__xludf.DUMMYFUNCTION("IMPORTRANGE(""https://docs.google.com/spreadsheets/d/11923uPwbBZFjjGgGUA6NLw09EwE0CqkOc4q9oUmW1yo/edit?usp=sharing"",""ลำพูน!I398"")"),0)</f>
        <v>0</v>
      </c>
      <c r="J503" s="207">
        <f ca="1">IFERROR(__xludf.DUMMYFUNCTION("IMPORTRANGE(""https://docs.google.com/spreadsheets/d/11923uPwbBZFjjGgGUA6NLw09EwE0CqkOc4q9oUmW1yo/edit?usp=sharing"",""ลำพูน!J398"")"),0)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IFERROR(__xludf.DUMMYFUNCTION("IMPORTRANGE(""https://docs.google.com/spreadsheets/d/11923uPwbBZFjjGgGUA6NLw09EwE0CqkOc4q9oUmW1yo/edit?usp=sharing"",""ลำพูน!I399"")"),0)</f>
        <v>0</v>
      </c>
      <c r="J504" s="198">
        <f ca="1">IFERROR(__xludf.DUMMYFUNCTION("IMPORTRANGE(""https://docs.google.com/spreadsheets/d/11923uPwbBZFjjGgGUA6NLw09EwE0CqkOc4q9oUmW1yo/edit?usp=sharing"",""ลำพูน!J399"")"),0)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IFERROR(__xludf.DUMMYFUNCTION("IMPORTRANGE(""https://docs.google.com/spreadsheets/d/11923uPwbBZFjjGgGUA6NLw09EwE0CqkOc4q9oUmW1yo/edit?usp=sharing"",""ลำพูน!I400"")"),0)</f>
        <v>0</v>
      </c>
      <c r="J505" s="207">
        <f ca="1">IFERROR(__xludf.DUMMYFUNCTION("IMPORTRANGE(""https://docs.google.com/spreadsheets/d/11923uPwbBZFjjGgGUA6NLw09EwE0CqkOc4q9oUmW1yo/edit?usp=sharing"",""ลำพูน!J400"")"),0)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IFERROR(__xludf.DUMMYFUNCTION("IMPORTRANGE(""https://docs.google.com/spreadsheets/d/11923uPwbBZFjjGgGUA6NLw09EwE0CqkOc4q9oUmW1yo/edit?usp=sharing"",""ลำพูน!I401"")"),0)</f>
        <v>0</v>
      </c>
      <c r="J506" s="198">
        <f ca="1">IFERROR(__xludf.DUMMYFUNCTION("IMPORTRANGE(""https://docs.google.com/spreadsheets/d/11923uPwbBZFjjGgGUA6NLw09EwE0CqkOc4q9oUmW1yo/edit?usp=sharing"",""ลำพูน!J401"")"),0)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IFERROR(__xludf.DUMMYFUNCTION("IMPORTRANGE(""https://docs.google.com/spreadsheets/d/11923uPwbBZFjjGgGUA6NLw09EwE0CqkOc4q9oUmW1yo/edit?usp=sharing"",""ลำพูน!I402"")"),0)</f>
        <v>0</v>
      </c>
      <c r="J507" s="207">
        <f ca="1">IFERROR(__xludf.DUMMYFUNCTION("IMPORTRANGE(""https://docs.google.com/spreadsheets/d/11923uPwbBZFjjGgGUA6NLw09EwE0CqkOc4q9oUmW1yo/edit?usp=sharing"",""ลำพูน!J402"")"),0)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IFERROR(__xludf.DUMMYFUNCTION("IMPORTRANGE(""https://docs.google.com/spreadsheets/d/11923uPwbBZFjjGgGUA6NLw09EwE0CqkOc4q9oUmW1yo/edit?usp=sharing"",""ลำพูน!I403"")"),0)</f>
        <v>0</v>
      </c>
      <c r="J508" s="170">
        <f ca="1">IFERROR(__xludf.DUMMYFUNCTION("IMPORTRANGE(""https://docs.google.com/spreadsheets/d/11923uPwbBZFjjGgGUA6NLw09EwE0CqkOc4q9oUmW1yo/edit?usp=sharing"",""ลำพูน!J403"")"),0)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IFERROR(__xludf.DUMMYFUNCTION("IMPORTRANGE(""https://docs.google.com/spreadsheets/d/11923uPwbBZFjjGgGUA6NLw09EwE0CqkOc4q9oUmW1yo/edit?usp=sharing"",""ลำพูน!I404"")"),0)</f>
        <v>0</v>
      </c>
      <c r="J509" s="170">
        <f ca="1">IFERROR(__xludf.DUMMYFUNCTION("IMPORTRANGE(""https://docs.google.com/spreadsheets/d/11923uPwbBZFjjGgGUA6NLw09EwE0CqkOc4q9oUmW1yo/edit?usp=sharing"",""ลำพูน!J404"")"),0)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IFERROR(__xludf.DUMMYFUNCTION("IMPORTRANGE(""https://docs.google.com/spreadsheets/d/11923uPwbBZFjjGgGUA6NLw09EwE0CqkOc4q9oUmW1yo/edit?usp=sharing"",""ลำพูน!I405"")"),0)</f>
        <v>0</v>
      </c>
      <c r="J510" s="207">
        <f ca="1">IFERROR(__xludf.DUMMYFUNCTION("IMPORTRANGE(""https://docs.google.com/spreadsheets/d/11923uPwbBZFjjGgGUA6NLw09EwE0CqkOc4q9oUmW1yo/edit?usp=sharing"",""ลำพูน!J405"")"),0)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IFERROR(__xludf.DUMMYFUNCTION("IMPORTRANGE(""https://docs.google.com/spreadsheets/d/11923uPwbBZFjjGgGUA6NLw09EwE0CqkOc4q9oUmW1yo/edit?usp=sharing"",""ลำพูน!I406"")"),0)</f>
        <v>0</v>
      </c>
      <c r="J511" s="207">
        <f ca="1">IFERROR(__xludf.DUMMYFUNCTION("IMPORTRANGE(""https://docs.google.com/spreadsheets/d/11923uPwbBZFjjGgGUA6NLw09EwE0CqkOc4q9oUmW1yo/edit?usp=sharing"",""ลำพูน!J406"")"),0)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IFERROR(__xludf.DUMMYFUNCTION("IMPORTRANGE(""https://docs.google.com/spreadsheets/d/11923uPwbBZFjjGgGUA6NLw09EwE0CqkOc4q9oUmW1yo/edit?usp=sharing"",""ลำพูน!I407"")"),0)</f>
        <v>0</v>
      </c>
      <c r="J512" s="207">
        <f ca="1">IFERROR(__xludf.DUMMYFUNCTION("IMPORTRANGE(""https://docs.google.com/spreadsheets/d/11923uPwbBZFjjGgGUA6NLw09EwE0CqkOc4q9oUmW1yo/edit?usp=sharing"",""ลำพูน!J407"")"),0)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IFERROR(__xludf.DUMMYFUNCTION("IMPORTRANGE(""https://docs.google.com/spreadsheets/d/11923uPwbBZFjjGgGUA6NLw09EwE0CqkOc4q9oUmW1yo/edit?usp=sharing"",""ลำพูน!I408"")"),0)</f>
        <v>0</v>
      </c>
      <c r="J513" s="207">
        <f ca="1">IFERROR(__xludf.DUMMYFUNCTION("IMPORTRANGE(""https://docs.google.com/spreadsheets/d/11923uPwbBZFjjGgGUA6NLw09EwE0CqkOc4q9oUmW1yo/edit?usp=sharing"",""ลำพูน!J408"")"),0)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IFERROR(__xludf.DUMMYFUNCTION("IMPORTRANGE(""https://docs.google.com/spreadsheets/d/11923uPwbBZFjjGgGUA6NLw09EwE0CqkOc4q9oUmW1yo/edit?usp=sharing"",""ลำพูน!I409"")"),0)</f>
        <v>0</v>
      </c>
      <c r="J514" s="207">
        <f ca="1">IFERROR(__xludf.DUMMYFUNCTION("IMPORTRANGE(""https://docs.google.com/spreadsheets/d/11923uPwbBZFjjGgGUA6NLw09EwE0CqkOc4q9oUmW1yo/edit?usp=sharing"",""ลำพูน!J409"")"),0)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IFERROR(__xludf.DUMMYFUNCTION("IMPORTRANGE(""https://docs.google.com/spreadsheets/d/11923uPwbBZFjjGgGUA6NLw09EwE0CqkOc4q9oUmW1yo/edit?usp=sharing"",""ลำพูน!I410"")"),0)</f>
        <v>0</v>
      </c>
      <c r="J515" s="207">
        <f ca="1">IFERROR(__xludf.DUMMYFUNCTION("IMPORTRANGE(""https://docs.google.com/spreadsheets/d/11923uPwbBZFjjGgGUA6NLw09EwE0CqkOc4q9oUmW1yo/edit?usp=sharing"",""ลำพูน!J410"")"),0)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IFERROR(__xludf.DUMMYFUNCTION("IMPORTRANGE(""https://docs.google.com/spreadsheets/d/11923uPwbBZFjjGgGUA6NLw09EwE0CqkOc4q9oUmW1yo/edit?usp=sharing"",""ลำพูน!I411"")"),0)</f>
        <v>0</v>
      </c>
      <c r="J516" s="276">
        <f ca="1">IFERROR(__xludf.DUMMYFUNCTION("IMPORTRANGE(""https://docs.google.com/spreadsheets/d/11923uPwbBZFjjGgGUA6NLw09EwE0CqkOc4q9oUmW1yo/edit?usp=sharing"",""ลำพูน!J411"")"),0)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IFERROR(__xludf.DUMMYFUNCTION("IMPORTRANGE(""https://docs.google.com/spreadsheets/d/11923uPwbBZFjjGgGUA6NLw09EwE0CqkOc4q9oUmW1yo/edit?usp=sharing"",""ลำพูน!I412"")"),0)</f>
        <v>0</v>
      </c>
      <c r="J517" s="292">
        <f ca="1">IFERROR(__xludf.DUMMYFUNCTION("IMPORTRANGE(""https://docs.google.com/spreadsheets/d/11923uPwbBZFjjGgGUA6NLw09EwE0CqkOc4q9oUmW1yo/edit?usp=sharing"",""ลำพูน!J412"")"),0)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IFERROR(__xludf.DUMMYFUNCTION("IMPORTRANGE(""https://docs.google.com/spreadsheets/d/11923uPwbBZFjjGgGUA6NLw09EwE0CqkOc4q9oUmW1yo/edit?usp=sharing"",""ลำพูน!I413"")"),0)</f>
        <v>0</v>
      </c>
      <c r="J518" s="292">
        <f ca="1">IFERROR(__xludf.DUMMYFUNCTION("IMPORTRANGE(""https://docs.google.com/spreadsheets/d/11923uPwbBZFjjGgGUA6NLw09EwE0CqkOc4q9oUmW1yo/edit?usp=sharing"",""ลำพูน!J413"")"),0)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IFERROR(__xludf.DUMMYFUNCTION("IMPORTRANGE(""https://docs.google.com/spreadsheets/d/11923uPwbBZFjjGgGUA6NLw09EwE0CqkOc4q9oUmW1yo/edit?usp=sharing"",""ลำพูน!I414"")"),0)</f>
        <v>0</v>
      </c>
      <c r="J519" s="197">
        <f ca="1">IFERROR(__xludf.DUMMYFUNCTION("IMPORTRANGE(""https://docs.google.com/spreadsheets/d/11923uPwbBZFjjGgGUA6NLw09EwE0CqkOc4q9oUmW1yo/edit?usp=sharing"",""ลำพูน!J414"")"),0)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IFERROR(__xludf.DUMMYFUNCTION("IMPORTRANGE(""https://docs.google.com/spreadsheets/d/11923uPwbBZFjjGgGUA6NLw09EwE0CqkOc4q9oUmW1yo/edit?usp=sharing"",""ลำพูน!I415"")"),0)</f>
        <v>0</v>
      </c>
      <c r="J520" s="197">
        <f ca="1">IFERROR(__xludf.DUMMYFUNCTION("IMPORTRANGE(""https://docs.google.com/spreadsheets/d/11923uPwbBZFjjGgGUA6NLw09EwE0CqkOc4q9oUmW1yo/edit?usp=sharing"",""ลำพูน!J415"")"),0)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IFERROR(__xludf.DUMMYFUNCTION("IMPORTRANGE(""https://docs.google.com/spreadsheets/d/11923uPwbBZFjjGgGUA6NLw09EwE0CqkOc4q9oUmW1yo/edit?usp=sharing"",""ลำพูน!I416"")"),0)</f>
        <v>0</v>
      </c>
      <c r="J521" s="197">
        <f ca="1">IFERROR(__xludf.DUMMYFUNCTION("IMPORTRANGE(""https://docs.google.com/spreadsheets/d/11923uPwbBZFjjGgGUA6NLw09EwE0CqkOc4q9oUmW1yo/edit?usp=sharing"",""ลำพูน!J416"")"),0)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IFERROR(__xludf.DUMMYFUNCTION("IMPORTRANGE(""https://docs.google.com/spreadsheets/d/11923uPwbBZFjjGgGUA6NLw09EwE0CqkOc4q9oUmW1yo/edit?usp=sharing"",""ลำพูน!I417"")"),0)</f>
        <v>0</v>
      </c>
      <c r="J522" s="197">
        <f ca="1">IFERROR(__xludf.DUMMYFUNCTION("IMPORTRANGE(""https://docs.google.com/spreadsheets/d/11923uPwbBZFjjGgGUA6NLw09EwE0CqkOc4q9oUmW1yo/edit?usp=sharing"",""ลำพูน!J417"")"),0)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IFERROR(__xludf.DUMMYFUNCTION("IMPORTRANGE(""https://docs.google.com/spreadsheets/d/11923uPwbBZFjjGgGUA6NLw09EwE0CqkOc4q9oUmW1yo/edit?usp=sharing"",""ลำพูน!I418"")"),0)</f>
        <v>0</v>
      </c>
      <c r="J523" s="197">
        <f ca="1">IFERROR(__xludf.DUMMYFUNCTION("IMPORTRANGE(""https://docs.google.com/spreadsheets/d/11923uPwbBZFjjGgGUA6NLw09EwE0CqkOc4q9oUmW1yo/edit?usp=sharing"",""ลำพูน!J418"")"),0)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IFERROR(__xludf.DUMMYFUNCTION("IMPORTRANGE(""https://docs.google.com/spreadsheets/d/11923uPwbBZFjjGgGUA6NLw09EwE0CqkOc4q9oUmW1yo/edit?usp=sharing"",""ลำพูน!I419"")"),0)</f>
        <v>0</v>
      </c>
      <c r="J524" s="197">
        <f ca="1">IFERROR(__xludf.DUMMYFUNCTION("IMPORTRANGE(""https://docs.google.com/spreadsheets/d/11923uPwbBZFjjGgGUA6NLw09EwE0CqkOc4q9oUmW1yo/edit?usp=sharing"",""ลำพูน!J419"")"),0)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IFERROR(__xludf.DUMMYFUNCTION("IMPORTRANGE(""https://docs.google.com/spreadsheets/d/11923uPwbBZFjjGgGUA6NLw09EwE0CqkOc4q9oUmW1yo/edit?usp=sharing"",""ลำพูน!I420"")"),0)</f>
        <v>0</v>
      </c>
      <c r="J525" s="292">
        <f ca="1">IFERROR(__xludf.DUMMYFUNCTION("IMPORTRANGE(""https://docs.google.com/spreadsheets/d/11923uPwbBZFjjGgGUA6NLw09EwE0CqkOc4q9oUmW1yo/edit?usp=sharing"",""ลำพูน!J420"")"),0)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IFERROR(__xludf.DUMMYFUNCTION("IMPORTRANGE(""https://docs.google.com/spreadsheets/d/11923uPwbBZFjjGgGUA6NLw09EwE0CqkOc4q9oUmW1yo/edit?usp=sharing"",""ลำพูน!I421"")"),0)</f>
        <v>0</v>
      </c>
      <c r="J526" s="292">
        <f ca="1">IFERROR(__xludf.DUMMYFUNCTION("IMPORTRANGE(""https://docs.google.com/spreadsheets/d/11923uPwbBZFjjGgGUA6NLw09EwE0CqkOc4q9oUmW1yo/edit?usp=sharing"",""ลำพูน!J421"")"),0)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IFERROR(__xludf.DUMMYFUNCTION("IMPORTRANGE(""https://docs.google.com/spreadsheets/d/11923uPwbBZFjjGgGUA6NLw09EwE0CqkOc4q9oUmW1yo/edit?usp=sharing"",""ลำพูน!I422"")"),0)</f>
        <v>0</v>
      </c>
      <c r="J527" s="207">
        <f ca="1">IFERROR(__xludf.DUMMYFUNCTION("IMPORTRANGE(""https://docs.google.com/spreadsheets/d/11923uPwbBZFjjGgGUA6NLw09EwE0CqkOc4q9oUmW1yo/edit?usp=sharing"",""ลำพูน!J422"")"),0)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IFERROR(__xludf.DUMMYFUNCTION("IMPORTRANGE(""https://docs.google.com/spreadsheets/d/11923uPwbBZFjjGgGUA6NLw09EwE0CqkOc4q9oUmW1yo/edit?usp=sharing"",""ลำพูน!I423"")"),0)</f>
        <v>0</v>
      </c>
      <c r="J528" s="207">
        <f ca="1">IFERROR(__xludf.DUMMYFUNCTION("IMPORTRANGE(""https://docs.google.com/spreadsheets/d/11923uPwbBZFjjGgGUA6NLw09EwE0CqkOc4q9oUmW1yo/edit?usp=sharing"",""ลำพูน!J423"")"),0)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IFERROR(__xludf.DUMMYFUNCTION("IMPORTRANGE(""https://docs.google.com/spreadsheets/d/11923uPwbBZFjjGgGUA6NLw09EwE0CqkOc4q9oUmW1yo/edit?usp=sharing"",""ลำพูน!I424"")"),0)</f>
        <v>0</v>
      </c>
      <c r="J529" s="207">
        <f ca="1">IFERROR(__xludf.DUMMYFUNCTION("IMPORTRANGE(""https://docs.google.com/spreadsheets/d/11923uPwbBZFjjGgGUA6NLw09EwE0CqkOc4q9oUmW1yo/edit?usp=sharing"",""ลำพูน!J424"")"),0)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IFERROR(__xludf.DUMMYFUNCTION("IMPORTRANGE(""https://docs.google.com/spreadsheets/d/11923uPwbBZFjjGgGUA6NLw09EwE0CqkOc4q9oUmW1yo/edit?usp=sharing"",""ลำพูน!I425"")"),0)</f>
        <v>0</v>
      </c>
      <c r="J530" s="207">
        <f ca="1">IFERROR(__xludf.DUMMYFUNCTION("IMPORTRANGE(""https://docs.google.com/spreadsheets/d/11923uPwbBZFjjGgGUA6NLw09EwE0CqkOc4q9oUmW1yo/edit?usp=sharing"",""ลำพูน!J425"")"),0)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IFERROR(__xludf.DUMMYFUNCTION("IMPORTRANGE(""https://docs.google.com/spreadsheets/d/11923uPwbBZFjjGgGUA6NLw09EwE0CqkOc4q9oUmW1yo/edit?usp=sharing"",""ลำพูน!I426"")"),0)</f>
        <v>0</v>
      </c>
      <c r="J531" s="207">
        <f ca="1">IFERROR(__xludf.DUMMYFUNCTION("IMPORTRANGE(""https://docs.google.com/spreadsheets/d/11923uPwbBZFjjGgGUA6NLw09EwE0CqkOc4q9oUmW1yo/edit?usp=sharing"",""ลำพูน!J426"")"),0)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IFERROR(__xludf.DUMMYFUNCTION("IMPORTRANGE(""https://docs.google.com/spreadsheets/d/11923uPwbBZFjjGgGUA6NLw09EwE0CqkOc4q9oUmW1yo/edit?usp=sharing"",""ลำพูน!I427"")"),0)</f>
        <v>0</v>
      </c>
      <c r="J532" s="474">
        <f ca="1">IFERROR(__xludf.DUMMYFUNCTION("IMPORTRANGE(""https://docs.google.com/spreadsheets/d/11923uPwbBZFjjGgGUA6NLw09EwE0CqkOc4q9oUmW1yo/edit?usp=sharing"",""ลำพูน!J427"")"),0)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IFERROR(__xludf.DUMMYFUNCTION("IMPORTRANGE(""https://docs.google.com/spreadsheets/d/11923uPwbBZFjjGgGUA6NLw09EwE0CqkOc4q9oUmW1yo/edit?usp=sharing"",""ลำพูน!I428"")"),22)</f>
        <v>22</v>
      </c>
      <c r="J533" s="418">
        <f ca="1">IFERROR(__xludf.DUMMYFUNCTION("IMPORTRANGE(""https://docs.google.com/spreadsheets/d/11923uPwbBZFjjGgGUA6NLw09EwE0CqkOc4q9oUmW1yo/edit?usp=sharing"",""ลำพูน!J428"")"),22)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IFERROR(__xludf.DUMMYFUNCTION("IMPORTRANGE(""https://docs.google.com/spreadsheets/d/11923uPwbBZFjjGgGUA6NLw09EwE0CqkOc4q9oUmW1yo/edit?usp=sharing"",""ลำพูน!L428"")"),34340)</f>
        <v>34340</v>
      </c>
      <c r="M533" s="420"/>
      <c r="N533" s="420">
        <f ca="1">IFERROR(__xludf.DUMMYFUNCTION("IMPORTRANGE(""https://docs.google.com/spreadsheets/d/11923uPwbBZFjjGgGUA6NLw09EwE0CqkOc4q9oUmW1yo/edit?usp=sharing"",""ลำพูน!M428"")"),17969)</f>
        <v>17969</v>
      </c>
      <c r="O533" s="420">
        <f t="shared" ref="O533:O537" ca="1" si="118">+IF(L533&gt;0,N533*100/L533,0)</f>
        <v>52.32673267326733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IFERROR(__xludf.DUMMYFUNCTION("IMPORTRANGE(""https://docs.google.com/spreadsheets/d/11923uPwbBZFjjGgGUA6NLw09EwE0CqkOc4q9oUmW1yo/edit?usp=sharing"",""ลำพูน!L429"")"),0)</f>
        <v>0</v>
      </c>
      <c r="M534" s="172"/>
      <c r="N534" s="178">
        <f ca="1">IFERROR(__xludf.DUMMYFUNCTION("IMPORTRANGE(""https://docs.google.com/spreadsheets/d/11923uPwbBZFjjGgGUA6NLw09EwE0CqkOc4q9oUmW1yo/edit?usp=sharing"",""ลำพูน!M429"")"),0)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IFERROR(__xludf.DUMMYFUNCTION("IMPORTRANGE(""https://docs.google.com/spreadsheets/d/11923uPwbBZFjjGgGUA6NLw09EwE0CqkOc4q9oUmW1yo/edit?usp=sharing"",""ลำพูน!L430"")"),34340)</f>
        <v>34340</v>
      </c>
      <c r="M535" s="173"/>
      <c r="N535" s="178">
        <f ca="1">IFERROR(__xludf.DUMMYFUNCTION("IMPORTRANGE(""https://docs.google.com/spreadsheets/d/11923uPwbBZFjjGgGUA6NLw09EwE0CqkOc4q9oUmW1yo/edit?usp=sharing"",""ลำพูน!M430"")"),17969)</f>
        <v>17969</v>
      </c>
      <c r="O535" s="178">
        <f t="shared" ca="1" si="118"/>
        <v>52.32673267326733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IFERROR(__xludf.DUMMYFUNCTION("IMPORTRANGE(""https://docs.google.com/spreadsheets/d/11923uPwbBZFjjGgGUA6NLw09EwE0CqkOc4q9oUmW1yo/edit?usp=sharing"",""ลำพูน!L431"")"),0)</f>
        <v>0</v>
      </c>
      <c r="M536" s="178"/>
      <c r="N536" s="178">
        <f ca="1">IFERROR(__xludf.DUMMYFUNCTION("IMPORTRANGE(""https://docs.google.com/spreadsheets/d/11923uPwbBZFjjGgGUA6NLw09EwE0CqkOc4q9oUmW1yo/edit?usp=sharing"",""ลำพูน!M431"")"),0)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IFERROR(__xludf.DUMMYFUNCTION("IMPORTRANGE(""https://docs.google.com/spreadsheets/d/11923uPwbBZFjjGgGUA6NLw09EwE0CqkOc4q9oUmW1yo/edit?usp=sharing"",""ลำพูน!L432"")"),34340)</f>
        <v>34340</v>
      </c>
      <c r="M537" s="178"/>
      <c r="N537" s="178">
        <f ca="1">IFERROR(__xludf.DUMMYFUNCTION("IMPORTRANGE(""https://docs.google.com/spreadsheets/d/11923uPwbBZFjjGgGUA6NLw09EwE0CqkOc4q9oUmW1yo/edit?usp=sharing"",""ลำพูน!M432"")"),17969)</f>
        <v>17969</v>
      </c>
      <c r="O537" s="178">
        <f t="shared" ca="1" si="118"/>
        <v>52.32673267326733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IFERROR(__xludf.DUMMYFUNCTION("IMPORTRANGE(""https://docs.google.com/spreadsheets/d/11923uPwbBZFjjGgGUA6NLw09EwE0CqkOc4q9oUmW1yo/edit?usp=sharing"",""ลำพูน!M433"")"),17969)</f>
        <v>17969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IFERROR(__xludf.DUMMYFUNCTION("IMPORTRANGE(""https://docs.google.com/spreadsheets/d/11923uPwbBZFjjGgGUA6NLw09EwE0CqkOc4q9oUmW1yo/edit?usp=sharing"",""ลำพูน!M434"")"),0)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IFERROR(__xludf.DUMMYFUNCTION("IMPORTRANGE(""https://docs.google.com/spreadsheets/d/11923uPwbBZFjjGgGUA6NLw09EwE0CqkOc4q9oUmW1yo/edit?usp=sharing"",""ลำพูน!M435"")"),0)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IFERROR(__xludf.DUMMYFUNCTION("IMPORTRANGE(""https://docs.google.com/spreadsheets/d/11923uPwbBZFjjGgGUA6NLw09EwE0CqkOc4q9oUmW1yo/edit?usp=sharing"",""ลำพูน!M436"")"),0)</f>
        <v>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IFERROR(__xludf.DUMMYFUNCTION("IMPORTRANGE(""https://docs.google.com/spreadsheets/d/11923uPwbBZFjjGgGUA6NLw09EwE0CqkOc4q9oUmW1yo/edit?usp=sharing"",""ลำพูน!J438"")"),0)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IFERROR(__xludf.DUMMYFUNCTION("IMPORTRANGE(""https://docs.google.com/spreadsheets/d/11923uPwbBZFjjGgGUA6NLw09EwE0CqkOc4q9oUmW1yo/edit?usp=sharing"",""ลำพูน!J439"")"),1)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IFERROR(__xludf.DUMMYFUNCTION("IMPORTRANGE(""https://docs.google.com/spreadsheets/d/11923uPwbBZFjjGgGUA6NLw09EwE0CqkOc4q9oUmW1yo/edit?usp=sharing"",""ลำพูน!J440"")"),1)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IFERROR(__xludf.DUMMYFUNCTION("IMPORTRANGE(""https://docs.google.com/spreadsheets/d/11923uPwbBZFjjGgGUA6NLw09EwE0CqkOc4q9oUmW1yo/edit?usp=sharing"",""ลำพูน!J441"")"),1)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IFERROR(__xludf.DUMMYFUNCTION("IMPORTRANGE(""https://docs.google.com/spreadsheets/d/11923uPwbBZFjjGgGUA6NLw09EwE0CqkOc4q9oUmW1yo/edit?usp=sharing"",""ลำพูน!I442"")"),22)</f>
        <v>22</v>
      </c>
      <c r="J547" s="198">
        <f ca="1">IFERROR(__xludf.DUMMYFUNCTION("IMPORTRANGE(""https://docs.google.com/spreadsheets/d/11923uPwbBZFjjGgGUA6NLw09EwE0CqkOc4q9oUmW1yo/edit?usp=sharing"",""ลำพูน!J442"")"),22)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IFERROR(__xludf.DUMMYFUNCTION("IMPORTRANGE(""https://docs.google.com/spreadsheets/d/11923uPwbBZFjjGgGUA6NLw09EwE0CqkOc4q9oUmW1yo/edit?usp=sharing"",""ลำพูน!J166"")"),0)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IFERROR(__xludf.DUMMYFUNCTION("IMPORTRANGE(""https://docs.google.com/spreadsheets/d/11923uPwbBZFjjGgGUA6NLw09EwE0CqkOc4q9oUmW1yo/edit?usp=sharing"",""ลำพูน!J444"")"),1)</f>
        <v>1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IFERROR(__xludf.DUMMYFUNCTION("IMPORTRANGE(""https://docs.google.com/spreadsheets/d/11923uPwbBZFjjGgGUA6NLw09EwE0CqkOc4q9oUmW1yo/edit?usp=sharing"",""ลำพูน!J445"")"),0)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IFERROR(__xludf.DUMMYFUNCTION("IMPORTRANGE(""https://docs.google.com/spreadsheets/d/11923uPwbBZFjjGgGUA6NLw09EwE0CqkOc4q9oUmW1yo/edit?usp=sharing"",""ลำพูน!I446"")"),0)</f>
        <v>0</v>
      </c>
      <c r="J551" s="418">
        <f ca="1">IFERROR(__xludf.DUMMYFUNCTION("IMPORTRANGE(""https://docs.google.com/spreadsheets/d/11923uPwbBZFjjGgGUA6NLw09EwE0CqkOc4q9oUmW1yo/edit?usp=sharing"",""ลำพูน!J446"")"),0)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IFERROR(__xludf.DUMMYFUNCTION("IMPORTRANGE(""https://docs.google.com/spreadsheets/d/11923uPwbBZFjjGgGUA6NLw09EwE0CqkOc4q9oUmW1yo/edit?usp=sharing"",""ลำพูน!L446"")"),0)</f>
        <v>0</v>
      </c>
      <c r="M551" s="420"/>
      <c r="N551" s="420">
        <f ca="1">IFERROR(__xludf.DUMMYFUNCTION("IMPORTRANGE(""https://docs.google.com/spreadsheets/d/11923uPwbBZFjjGgGUA6NLw09EwE0CqkOc4q9oUmW1yo/edit?usp=sharing"",""ลำพูน!M446"")"),0)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IFERROR(__xludf.DUMMYFUNCTION("IMPORTRANGE(""https://docs.google.com/spreadsheets/d/11923uPwbBZFjjGgGUA6NLw09EwE0CqkOc4q9oUmW1yo/edit?usp=sharing"",""ลำพูน!L447"")"),0)</f>
        <v>0</v>
      </c>
      <c r="M552" s="172"/>
      <c r="N552" s="178">
        <f ca="1">IFERROR(__xludf.DUMMYFUNCTION("IMPORTRANGE(""https://docs.google.com/spreadsheets/d/11923uPwbBZFjjGgGUA6NLw09EwE0CqkOc4q9oUmW1yo/edit?usp=sharing"",""ลำพูน!M447"")"),0)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IFERROR(__xludf.DUMMYFUNCTION("IMPORTRANGE(""https://docs.google.com/spreadsheets/d/11923uPwbBZFjjGgGUA6NLw09EwE0CqkOc4q9oUmW1yo/edit?usp=sharing"",""ลำพูน!L448"")"),0)</f>
        <v>0</v>
      </c>
      <c r="M553" s="173"/>
      <c r="N553" s="178">
        <f ca="1">IFERROR(__xludf.DUMMYFUNCTION("IMPORTRANGE(""https://docs.google.com/spreadsheets/d/11923uPwbBZFjjGgGUA6NLw09EwE0CqkOc4q9oUmW1yo/edit?usp=sharing"",""ลำพูน!M448"")"),0)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IFERROR(__xludf.DUMMYFUNCTION("IMPORTRANGE(""https://docs.google.com/spreadsheets/d/11923uPwbBZFjjGgGUA6NLw09EwE0CqkOc4q9oUmW1yo/edit?usp=sharing"",""ลำพูน!L449"")"),0)</f>
        <v>0</v>
      </c>
      <c r="M554" s="178"/>
      <c r="N554" s="178">
        <f ca="1">IFERROR(__xludf.DUMMYFUNCTION("IMPORTRANGE(""https://docs.google.com/spreadsheets/d/11923uPwbBZFjjGgGUA6NLw09EwE0CqkOc4q9oUmW1yo/edit?usp=sharing"",""ลำพูน!M449"")"),0)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IFERROR(__xludf.DUMMYFUNCTION("IMPORTRANGE(""https://docs.google.com/spreadsheets/d/11923uPwbBZFjjGgGUA6NLw09EwE0CqkOc4q9oUmW1yo/edit?usp=sharing"",""ลำพูน!L450"")"),0)</f>
        <v>0</v>
      </c>
      <c r="M555" s="178"/>
      <c r="N555" s="178">
        <f ca="1">IFERROR(__xludf.DUMMYFUNCTION("IMPORTRANGE(""https://docs.google.com/spreadsheets/d/11923uPwbBZFjjGgGUA6NLw09EwE0CqkOc4q9oUmW1yo/edit?usp=sharing"",""ลำพูน!M450"")"),0)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IFERROR(__xludf.DUMMYFUNCTION("IMPORTRANGE(""https://docs.google.com/spreadsheets/d/11923uPwbBZFjjGgGUA6NLw09EwE0CqkOc4q9oUmW1yo/edit?usp=sharing"",""ลำพูน!M451"")"),0)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IFERROR(__xludf.DUMMYFUNCTION("IMPORTRANGE(""https://docs.google.com/spreadsheets/d/11923uPwbBZFjjGgGUA6NLw09EwE0CqkOc4q9oUmW1yo/edit?usp=sharing"",""ลำพูน!M452"")"),0)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IFERROR(__xludf.DUMMYFUNCTION("IMPORTRANGE(""https://docs.google.com/spreadsheets/d/11923uPwbBZFjjGgGUA6NLw09EwE0CqkOc4q9oUmW1yo/edit?usp=sharing"",""ลำพูน!M453"")"),0)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IFERROR(__xludf.DUMMYFUNCTION("IMPORTRANGE(""https://docs.google.com/spreadsheets/d/11923uPwbBZFjjGgGUA6NLw09EwE0CqkOc4q9oUmW1yo/edit?usp=sharing"",""ลำพูน!M454"")"),0)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IFERROR(__xludf.DUMMYFUNCTION("IMPORTRANGE(""https://docs.google.com/spreadsheets/d/11923uPwbBZFjjGgGUA6NLw09EwE0CqkOc4q9oUmW1yo/edit?usp=sharing"",""ลำพูน!I455"")"),0)</f>
        <v>0</v>
      </c>
      <c r="J560" s="170">
        <f ca="1">IFERROR(__xludf.DUMMYFUNCTION("IMPORTRANGE(""https://docs.google.com/spreadsheets/d/11923uPwbBZFjjGgGUA6NLw09EwE0CqkOc4q9oUmW1yo/edit?usp=sharing"",""ลำพูน!J455"")"),0)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IFERROR(__xludf.DUMMYFUNCTION("IMPORTRANGE(""https://docs.google.com/spreadsheets/d/11923uPwbBZFjjGgGUA6NLw09EwE0CqkOc4q9oUmW1yo/edit?usp=sharing"",""ลำพูน!I456"")"),0)</f>
        <v>0</v>
      </c>
      <c r="J561" s="213">
        <f ca="1">IFERROR(__xludf.DUMMYFUNCTION("IMPORTRANGE(""https://docs.google.com/spreadsheets/d/11923uPwbBZFjjGgGUA6NLw09EwE0CqkOc4q9oUmW1yo/edit?usp=sharing"",""ลำพูน!J456"")"),0)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 t="str">
        <f ca="1">IFERROR(__xludf.DUMMYFUNCTION("IMPORTRANGE(""https://docs.google.com/spreadsheets/d/11923uPwbBZFjjGgGUA6NLw09EwE0CqkOc4q9oUmW1yo/edit?usp=sharing"",""ลำพูน!I457"")"),"")</f>
        <v/>
      </c>
      <c r="J562" s="213" t="str">
        <f ca="1">IFERROR(__xludf.DUMMYFUNCTION("IMPORTRANGE(""https://docs.google.com/spreadsheets/d/11923uPwbBZFjjGgGUA6NLw09EwE0CqkOc4q9oUmW1yo/edit?usp=sharing"",""ลำพูน!J457"")"),"")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 t="str">
        <f ca="1">IFERROR(__xludf.DUMMYFUNCTION("IMPORTRANGE(""https://docs.google.com/spreadsheets/d/11923uPwbBZFjjGgGUA6NLw09EwE0CqkOc4q9oUmW1yo/edit?usp=sharing"",""ลำพูน!I458"")"),"")</f>
        <v/>
      </c>
      <c r="J563" s="197" t="str">
        <f ca="1">IFERROR(__xludf.DUMMYFUNCTION("IMPORTRANGE(""https://docs.google.com/spreadsheets/d/11923uPwbBZFjjGgGUA6NLw09EwE0CqkOc4q9oUmW1yo/edit?usp=sharing"",""ลำพูน!J458"")"),"")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IFERROR(__xludf.DUMMYFUNCTION("IMPORTRANGE(""https://docs.google.com/spreadsheets/d/11923uPwbBZFjjGgGUA6NLw09EwE0CqkOc4q9oUmW1yo/edit?usp=sharing"",""ลำพูน!I459"")"),650)</f>
        <v>650</v>
      </c>
      <c r="J564" s="379">
        <f ca="1">IFERROR(__xludf.DUMMYFUNCTION("IMPORTRANGE(""https://docs.google.com/spreadsheets/d/11923uPwbBZFjjGgGUA6NLw09EwE0CqkOc4q9oUmW1yo/edit?usp=sharing"",""ลำพูน!J459"")"),189)</f>
        <v>189</v>
      </c>
      <c r="K564" s="380">
        <f t="shared" ca="1" si="121"/>
        <v>29.076923076923077</v>
      </c>
      <c r="L564" s="381">
        <f ca="1">IFERROR(__xludf.DUMMYFUNCTION("IMPORTRANGE(""https://docs.google.com/spreadsheets/d/11923uPwbBZFjjGgGUA6NLw09EwE0CqkOc4q9oUmW1yo/edit?usp=sharing"",""ลำพูน!L459"")"),126880)</f>
        <v>126880</v>
      </c>
      <c r="M564" s="381"/>
      <c r="N564" s="381">
        <f ca="1">IFERROR(__xludf.DUMMYFUNCTION("IMPORTRANGE(""https://docs.google.com/spreadsheets/d/11923uPwbBZFjjGgGUA6NLw09EwE0CqkOc4q9oUmW1yo/edit?usp=sharing"",""ลำพูน!M459"")"),48305)</f>
        <v>48305</v>
      </c>
      <c r="O564" s="381">
        <f t="shared" ref="O564:O568" ca="1" si="122">+IF(L564&gt;0,N564*100/L564,0)</f>
        <v>38.071406052963432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IFERROR(__xludf.DUMMYFUNCTION("IMPORTRANGE(""https://docs.google.com/spreadsheets/d/11923uPwbBZFjjGgGUA6NLw09EwE0CqkOc4q9oUmW1yo/edit?usp=sharing"",""ลำพูน!L460"")"),0)</f>
        <v>0</v>
      </c>
      <c r="M565" s="172"/>
      <c r="N565" s="178">
        <f ca="1">IFERROR(__xludf.DUMMYFUNCTION("IMPORTRANGE(""https://docs.google.com/spreadsheets/d/11923uPwbBZFjjGgGUA6NLw09EwE0CqkOc4q9oUmW1yo/edit?usp=sharing"",""ลำพูน!M460"")"),0)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IFERROR(__xludf.DUMMYFUNCTION("IMPORTRANGE(""https://docs.google.com/spreadsheets/d/11923uPwbBZFjjGgGUA6NLw09EwE0CqkOc4q9oUmW1yo/edit?usp=sharing"",""ลำพูน!L461"")"),126880)</f>
        <v>126880</v>
      </c>
      <c r="M566" s="173"/>
      <c r="N566" s="178">
        <f ca="1">IFERROR(__xludf.DUMMYFUNCTION("IMPORTRANGE(""https://docs.google.com/spreadsheets/d/11923uPwbBZFjjGgGUA6NLw09EwE0CqkOc4q9oUmW1yo/edit?usp=sharing"",""ลำพูน!M461"")"),48305)</f>
        <v>48305</v>
      </c>
      <c r="O566" s="178">
        <f t="shared" ca="1" si="122"/>
        <v>38.071406052963432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IFERROR(__xludf.DUMMYFUNCTION("IMPORTRANGE(""https://docs.google.com/spreadsheets/d/11923uPwbBZFjjGgGUA6NLw09EwE0CqkOc4q9oUmW1yo/edit?usp=sharing"",""ลำพูน!L462"")"),0)</f>
        <v>0</v>
      </c>
      <c r="M567" s="178"/>
      <c r="N567" s="178">
        <f ca="1">IFERROR(__xludf.DUMMYFUNCTION("IMPORTRANGE(""https://docs.google.com/spreadsheets/d/11923uPwbBZFjjGgGUA6NLw09EwE0CqkOc4q9oUmW1yo/edit?usp=sharing"",""ลำพูน!M462"")"),0)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IFERROR(__xludf.DUMMYFUNCTION("IMPORTRANGE(""https://docs.google.com/spreadsheets/d/11923uPwbBZFjjGgGUA6NLw09EwE0CqkOc4q9oUmW1yo/edit?usp=sharing"",""ลำพูน!L463"")"),126880)</f>
        <v>126880</v>
      </c>
      <c r="M568" s="178"/>
      <c r="N568" s="178">
        <f ca="1">IFERROR(__xludf.DUMMYFUNCTION("IMPORTRANGE(""https://docs.google.com/spreadsheets/d/11923uPwbBZFjjGgGUA6NLw09EwE0CqkOc4q9oUmW1yo/edit?usp=sharing"",""ลำพูน!M463"")"),48305)</f>
        <v>48305</v>
      </c>
      <c r="O568" s="178">
        <f t="shared" ca="1" si="122"/>
        <v>38.071406052963432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IFERROR(__xludf.DUMMYFUNCTION("IMPORTRANGE(""https://docs.google.com/spreadsheets/d/11923uPwbBZFjjGgGUA6NLw09EwE0CqkOc4q9oUmW1yo/edit?usp=sharing"",""ลำพูน!M464"")"),0)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IFERROR(__xludf.DUMMYFUNCTION("IMPORTRANGE(""https://docs.google.com/spreadsheets/d/11923uPwbBZFjjGgGUA6NLw09EwE0CqkOc4q9oUmW1yo/edit?usp=sharing"",""ลำพูน!M465"")"),0)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IFERROR(__xludf.DUMMYFUNCTION("IMPORTRANGE(""https://docs.google.com/spreadsheets/d/11923uPwbBZFjjGgGUA6NLw09EwE0CqkOc4q9oUmW1yo/edit?usp=sharing"",""ลำพูน!M466"")"),42935)</f>
        <v>42935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IFERROR(__xludf.DUMMYFUNCTION("IMPORTRANGE(""https://docs.google.com/spreadsheets/d/11923uPwbBZFjjGgGUA6NLw09EwE0CqkOc4q9oUmW1yo/edit?usp=sharing"",""ลำพูน!M467"")"),5370)</f>
        <v>5370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IFERROR(__xludf.DUMMYFUNCTION("IMPORTRANGE(""https://docs.google.com/spreadsheets/d/11923uPwbBZFjjGgGUA6NLw09EwE0CqkOc4q9oUmW1yo/edit?usp=sharing"",""ลำพูน!I468"")"),650)</f>
        <v>650</v>
      </c>
      <c r="J573" s="428">
        <f ca="1">IFERROR(__xludf.DUMMYFUNCTION("IMPORTRANGE(""https://docs.google.com/spreadsheets/d/11923uPwbBZFjjGgGUA6NLw09EwE0CqkOc4q9oUmW1yo/edit?usp=sharing"",""ลำพูน!J468"")"),189)</f>
        <v>189</v>
      </c>
      <c r="K573" s="211">
        <f ca="1">IF(I573&gt;0,J573*100/I573,0)</f>
        <v>29.076923076923077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IFERROR(__xludf.DUMMYFUNCTION("IMPORTRANGE(""https://docs.google.com/spreadsheets/d/11923uPwbBZFjjGgGUA6NLw09EwE0CqkOc4q9oUmW1yo/edit?usp=sharing"",""ลำพูน!I470"")"),0)</f>
        <v>0</v>
      </c>
      <c r="J575" s="207">
        <f ca="1">IFERROR(__xludf.DUMMYFUNCTION("IMPORTRANGE(""https://docs.google.com/spreadsheets/d/11923uPwbBZFjjGgGUA6NLw09EwE0CqkOc4q9oUmW1yo/edit?usp=sharing"",""ลำพูน!J470"")"),0)</f>
        <v>0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IFERROR(__xludf.DUMMYFUNCTION("IMPORTRANGE(""https://docs.google.com/spreadsheets/d/11923uPwbBZFjjGgGUA6NLw09EwE0CqkOc4q9oUmW1yo/edit?usp=sharing"",""ลำพูน!I471"")"),0)</f>
        <v>0</v>
      </c>
      <c r="J576" s="207">
        <f ca="1">IFERROR(__xludf.DUMMYFUNCTION("IMPORTRANGE(""https://docs.google.com/spreadsheets/d/11923uPwbBZFjjGgGUA6NLw09EwE0CqkOc4q9oUmW1yo/edit?usp=sharing"",""ลำพูน!J471"")"),0)</f>
        <v>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IFERROR(__xludf.DUMMYFUNCTION("IMPORTRANGE(""https://docs.google.com/spreadsheets/d/11923uPwbBZFjjGgGUA6NLw09EwE0CqkOc4q9oUmW1yo/edit?usp=sharing"",""ลำพูน!I472"")"),0)</f>
        <v>0</v>
      </c>
      <c r="J577" s="198">
        <f ca="1">IFERROR(__xludf.DUMMYFUNCTION("IMPORTRANGE(""https://docs.google.com/spreadsheets/d/11923uPwbBZFjjGgGUA6NLw09EwE0CqkOc4q9oUmW1yo/edit?usp=sharing"",""ลำพูน!J472"")"),189)</f>
        <v>189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IFERROR(__xludf.DUMMYFUNCTION("IMPORTRANGE(""https://docs.google.com/spreadsheets/d/11923uPwbBZFjjGgGUA6NLw09EwE0CqkOc4q9oUmW1yo/edit?usp=sharing"",""ลำพูน!I473"")"),0)</f>
        <v>0</v>
      </c>
      <c r="J578" s="207">
        <f ca="1">IFERROR(__xludf.DUMMYFUNCTION("IMPORTRANGE(""https://docs.google.com/spreadsheets/d/11923uPwbBZFjjGgGUA6NLw09EwE0CqkOc4q9oUmW1yo/edit?usp=sharing"",""ลำพูน!J473"")"),0)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IFERROR(__xludf.DUMMYFUNCTION("IMPORTRANGE(""https://docs.google.com/spreadsheets/d/11923uPwbBZFjjGgGUA6NLw09EwE0CqkOc4q9oUmW1yo/edit?usp=sharing"",""ลำพูน!I474"")"),0)</f>
        <v>0</v>
      </c>
      <c r="J579" s="207">
        <f ca="1">IFERROR(__xludf.DUMMYFUNCTION("IMPORTRANGE(""https://docs.google.com/spreadsheets/d/11923uPwbBZFjjGgGUA6NLw09EwE0CqkOc4q9oUmW1yo/edit?usp=sharing"",""ลำพูน!J474"")"),0)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IFERROR(__xludf.DUMMYFUNCTION("IMPORTRANGE(""https://docs.google.com/spreadsheets/d/11923uPwbBZFjjGgGUA6NLw09EwE0CqkOc4q9oUmW1yo/edit?usp=sharing"",""ลำพูน!I475"")"),0)</f>
        <v>0</v>
      </c>
      <c r="J580" s="379">
        <f ca="1">IFERROR(__xludf.DUMMYFUNCTION("IMPORTRANGE(""https://docs.google.com/spreadsheets/d/11923uPwbBZFjjGgGUA6NLw09EwE0CqkOc4q9oUmW1yo/edit?usp=sharing"",""ลำพูน!J475"")"),0)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IFERROR(__xludf.DUMMYFUNCTION("IMPORTRANGE(""https://docs.google.com/spreadsheets/d/11923uPwbBZFjjGgGUA6NLw09EwE0CqkOc4q9oUmW1yo/edit?usp=sharing"",""ลำพูน!L475"")"),0)</f>
        <v>0</v>
      </c>
      <c r="M580" s="381"/>
      <c r="N580" s="381">
        <f ca="1">IFERROR(__xludf.DUMMYFUNCTION("IMPORTRANGE(""https://docs.google.com/spreadsheets/d/11923uPwbBZFjjGgGUA6NLw09EwE0CqkOc4q9oUmW1yo/edit?usp=sharing"",""ลำพูน!M475"")"),0)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IFERROR(__xludf.DUMMYFUNCTION("IMPORTRANGE(""https://docs.google.com/spreadsheets/d/11923uPwbBZFjjGgGUA6NLw09EwE0CqkOc4q9oUmW1yo/edit?usp=sharing"",""ลำพูน!L476"")"),0)</f>
        <v>0</v>
      </c>
      <c r="M581" s="172"/>
      <c r="N581" s="178">
        <f ca="1">IFERROR(__xludf.DUMMYFUNCTION("IMPORTRANGE(""https://docs.google.com/spreadsheets/d/11923uPwbBZFjjGgGUA6NLw09EwE0CqkOc4q9oUmW1yo/edit?usp=sharing"",""ลำพูน!M476"")"),0)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IFERROR(__xludf.DUMMYFUNCTION("IMPORTRANGE(""https://docs.google.com/spreadsheets/d/11923uPwbBZFjjGgGUA6NLw09EwE0CqkOc4q9oUmW1yo/edit?usp=sharing"",""ลำพูน!L477"")"),0)</f>
        <v>0</v>
      </c>
      <c r="M582" s="173"/>
      <c r="N582" s="178">
        <f ca="1">IFERROR(__xludf.DUMMYFUNCTION("IMPORTRANGE(""https://docs.google.com/spreadsheets/d/11923uPwbBZFjjGgGUA6NLw09EwE0CqkOc4q9oUmW1yo/edit?usp=sharing"",""ลำพูน!M477"")"),0)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IFERROR(__xludf.DUMMYFUNCTION("IMPORTRANGE(""https://docs.google.com/spreadsheets/d/11923uPwbBZFjjGgGUA6NLw09EwE0CqkOc4q9oUmW1yo/edit?usp=sharing"",""ลำพูน!L478"")"),0)</f>
        <v>0</v>
      </c>
      <c r="M583" s="178"/>
      <c r="N583" s="178">
        <f ca="1">IFERROR(__xludf.DUMMYFUNCTION("IMPORTRANGE(""https://docs.google.com/spreadsheets/d/11923uPwbBZFjjGgGUA6NLw09EwE0CqkOc4q9oUmW1yo/edit?usp=sharing"",""ลำพูน!M478"")"),0)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IFERROR(__xludf.DUMMYFUNCTION("IMPORTRANGE(""https://docs.google.com/spreadsheets/d/11923uPwbBZFjjGgGUA6NLw09EwE0CqkOc4q9oUmW1yo/edit?usp=sharing"",""ลำพูน!L479"")"),0)</f>
        <v>0</v>
      </c>
      <c r="M584" s="178"/>
      <c r="N584" s="178">
        <f ca="1">IFERROR(__xludf.DUMMYFUNCTION("IMPORTRANGE(""https://docs.google.com/spreadsheets/d/11923uPwbBZFjjGgGUA6NLw09EwE0CqkOc4q9oUmW1yo/edit?usp=sharing"",""ลำพูน!M479"")"),0)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IFERROR(__xludf.DUMMYFUNCTION("IMPORTRANGE(""https://docs.google.com/spreadsheets/d/11923uPwbBZFjjGgGUA6NLw09EwE0CqkOc4q9oUmW1yo/edit?usp=sharing"",""ลำพูน!M480"")"),0)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IFERROR(__xludf.DUMMYFUNCTION("IMPORTRANGE(""https://docs.google.com/spreadsheets/d/11923uPwbBZFjjGgGUA6NLw09EwE0CqkOc4q9oUmW1yo/edit?usp=sharing"",""ลำพูน!M481"")"),0)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IFERROR(__xludf.DUMMYFUNCTION("IMPORTRANGE(""https://docs.google.com/spreadsheets/d/11923uPwbBZFjjGgGUA6NLw09EwE0CqkOc4q9oUmW1yo/edit?usp=sharing"",""ลำพูน!M482"")"),0)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IFERROR(__xludf.DUMMYFUNCTION("IMPORTRANGE(""https://docs.google.com/spreadsheets/d/11923uPwbBZFjjGgGUA6NLw09EwE0CqkOc4q9oUmW1yo/edit?usp=sharing"",""ลำพูน!M483"")"),0)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IFERROR(__xludf.DUMMYFUNCTION("IMPORTRANGE(""https://docs.google.com/spreadsheets/d/11923uPwbBZFjjGgGUA6NLw09EwE0CqkOc4q9oUmW1yo/edit?usp=sharing"",""ลำพูน!I484"")"),0)</f>
        <v>0</v>
      </c>
      <c r="J589" s="197">
        <f ca="1">IFERROR(__xludf.DUMMYFUNCTION("IMPORTRANGE(""https://docs.google.com/spreadsheets/d/11923uPwbBZFjjGgGUA6NLw09EwE0CqkOc4q9oUmW1yo/edit?usp=sharing"",""ลำพูน!J484"")"),0)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IFERROR(__xludf.DUMMYFUNCTION("IMPORTRANGE(""https://docs.google.com/spreadsheets/d/11923uPwbBZFjjGgGUA6NLw09EwE0CqkOc4q9oUmW1yo/edit?usp=sharing"",""ลำพูน!I485"")"),0)</f>
        <v>0</v>
      </c>
      <c r="J590" s="197">
        <f ca="1">IFERROR(__xludf.DUMMYFUNCTION("IMPORTRANGE(""https://docs.google.com/spreadsheets/d/11923uPwbBZFjjGgGUA6NLw09EwE0CqkOc4q9oUmW1yo/edit?usp=sharing"",""ลำพูน!J485"")"),0)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IFERROR(__xludf.DUMMYFUNCTION("IMPORTRANGE(""https://docs.google.com/spreadsheets/d/11923uPwbBZFjjGgGUA6NLw09EwE0CqkOc4q9oUmW1yo/edit?usp=sharing"",""ลำพูน!I486"")"),0)</f>
        <v>0</v>
      </c>
      <c r="J591" s="197">
        <f ca="1">IFERROR(__xludf.DUMMYFUNCTION("IMPORTRANGE(""https://docs.google.com/spreadsheets/d/11923uPwbBZFjjGgGUA6NLw09EwE0CqkOc4q9oUmW1yo/edit?usp=sharing"",""ลำพูน!J486"")"),0)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IFERROR(__xludf.DUMMYFUNCTION("IMPORTRANGE(""https://docs.google.com/spreadsheets/d/11923uPwbBZFjjGgGUA6NLw09EwE0CqkOc4q9oUmW1yo/edit?usp=sharing"",""ลำพูน!I487"")"),0)</f>
        <v>0</v>
      </c>
      <c r="J592" s="197">
        <f ca="1">IFERROR(__xludf.DUMMYFUNCTION("IMPORTRANGE(""https://docs.google.com/spreadsheets/d/11923uPwbBZFjjGgGUA6NLw09EwE0CqkOc4q9oUmW1yo/edit?usp=sharing"",""ลำพูน!J487"")"),0)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IFERROR(__xludf.DUMMYFUNCTION("IMPORTRANGE(""https://docs.google.com/spreadsheets/d/11923uPwbBZFjjGgGUA6NLw09EwE0CqkOc4q9oUmW1yo/edit?usp=sharing"",""ลำพูน!I488"")"),0)</f>
        <v>0</v>
      </c>
      <c r="J593" s="197">
        <f ca="1">IFERROR(__xludf.DUMMYFUNCTION("IMPORTRANGE(""https://docs.google.com/spreadsheets/d/11923uPwbBZFjjGgGUA6NLw09EwE0CqkOc4q9oUmW1yo/edit?usp=sharing"",""ลำพูน!J488"")"),0)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IFERROR(__xludf.DUMMYFUNCTION("IMPORTRANGE(""https://docs.google.com/spreadsheets/d/11923uPwbBZFjjGgGUA6NLw09EwE0CqkOc4q9oUmW1yo/edit?usp=sharing"",""ลำพูน!I489"")"),0)</f>
        <v>0</v>
      </c>
      <c r="J594" s="197">
        <f ca="1">IFERROR(__xludf.DUMMYFUNCTION("IMPORTRANGE(""https://docs.google.com/spreadsheets/d/11923uPwbBZFjjGgGUA6NLw09EwE0CqkOc4q9oUmW1yo/edit?usp=sharing"",""ลำพูน!J489"")"),0)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IFERROR(__xludf.DUMMYFUNCTION("IMPORTRANGE(""https://docs.google.com/spreadsheets/d/11923uPwbBZFjjGgGUA6NLw09EwE0CqkOc4q9oUmW1yo/edit?usp=sharing"",""ลำพูน!I490"")"),0)</f>
        <v>0</v>
      </c>
      <c r="J595" s="197">
        <f ca="1">IFERROR(__xludf.DUMMYFUNCTION("IMPORTRANGE(""https://docs.google.com/spreadsheets/d/11923uPwbBZFjjGgGUA6NLw09EwE0CqkOc4q9oUmW1yo/edit?usp=sharing"",""ลำพูน!J490"")"),0)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IFERROR(__xludf.DUMMYFUNCTION("IMPORTRANGE(""https://docs.google.com/spreadsheets/d/11923uPwbBZFjjGgGUA6NLw09EwE0CqkOc4q9oUmW1yo/edit?usp=sharing"",""ลำพูน!I491"")"),0)</f>
        <v>0</v>
      </c>
      <c r="J596" s="250">
        <f ca="1">IFERROR(__xludf.DUMMYFUNCTION("IMPORTRANGE(""https://docs.google.com/spreadsheets/d/11923uPwbBZFjjGgGUA6NLw09EwE0CqkOc4q9oUmW1yo/edit?usp=sharing"",""ลำพูน!J491"")"),0)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IFERROR(__xludf.DUMMYFUNCTION("IMPORTRANGE(""https://docs.google.com/spreadsheets/d/11923uPwbBZFjjGgGUA6NLw09EwE0CqkOc4q9oUmW1yo/edit?usp=sharing"",""ลำพูน!I492"")"),50)</f>
        <v>50</v>
      </c>
      <c r="J597" s="495">
        <f ca="1">IFERROR(__xludf.DUMMYFUNCTION("IMPORTRANGE(""https://docs.google.com/spreadsheets/d/11923uPwbBZFjjGgGUA6NLw09EwE0CqkOc4q9oUmW1yo/edit?usp=sharing"",""ลำพูน!J492"")"),0)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IFERROR(__xludf.DUMMYFUNCTION("IMPORTRANGE(""https://docs.google.com/spreadsheets/d/11923uPwbBZFjjGgGUA6NLw09EwE0CqkOc4q9oUmW1yo/edit?usp=sharing"",""ลำพูน!L492"")"),4550)</f>
        <v>4550</v>
      </c>
      <c r="M597" s="420"/>
      <c r="N597" s="420">
        <f ca="1">IFERROR(__xludf.DUMMYFUNCTION("IMPORTRANGE(""https://docs.google.com/spreadsheets/d/11923uPwbBZFjjGgGUA6NLw09EwE0CqkOc4q9oUmW1yo/edit?usp=sharing"",""ลำพูน!M492"")"),850)</f>
        <v>850</v>
      </c>
      <c r="O597" s="420">
        <f t="shared" ref="O597:O601" ca="1" si="126">+IF(L597&gt;0,N597*100/L597,0)</f>
        <v>18.681318681318682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IFERROR(__xludf.DUMMYFUNCTION("IMPORTRANGE(""https://docs.google.com/spreadsheets/d/11923uPwbBZFjjGgGUA6NLw09EwE0CqkOc4q9oUmW1yo/edit?usp=sharing"",""ลำพูน!L493"")"),0)</f>
        <v>0</v>
      </c>
      <c r="M598" s="172"/>
      <c r="N598" s="178">
        <f ca="1">IFERROR(__xludf.DUMMYFUNCTION("IMPORTRANGE(""https://docs.google.com/spreadsheets/d/11923uPwbBZFjjGgGUA6NLw09EwE0CqkOc4q9oUmW1yo/edit?usp=sharing"",""ลำพูน!M493"")"),0)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IFERROR(__xludf.DUMMYFUNCTION("IMPORTRANGE(""https://docs.google.com/spreadsheets/d/11923uPwbBZFjjGgGUA6NLw09EwE0CqkOc4q9oUmW1yo/edit?usp=sharing"",""ลำพูน!L494"")"),4550)</f>
        <v>4550</v>
      </c>
      <c r="M599" s="173"/>
      <c r="N599" s="178">
        <f ca="1">IFERROR(__xludf.DUMMYFUNCTION("IMPORTRANGE(""https://docs.google.com/spreadsheets/d/11923uPwbBZFjjGgGUA6NLw09EwE0CqkOc4q9oUmW1yo/edit?usp=sharing"",""ลำพูน!M494"")"),850)</f>
        <v>850</v>
      </c>
      <c r="O599" s="178">
        <f t="shared" ca="1" si="126"/>
        <v>18.681318681318682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IFERROR(__xludf.DUMMYFUNCTION("IMPORTRANGE(""https://docs.google.com/spreadsheets/d/11923uPwbBZFjjGgGUA6NLw09EwE0CqkOc4q9oUmW1yo/edit?usp=sharing"",""ลำพูน!L495"")"),0)</f>
        <v>0</v>
      </c>
      <c r="M600" s="178"/>
      <c r="N600" s="178">
        <f ca="1">IFERROR(__xludf.DUMMYFUNCTION("IMPORTRANGE(""https://docs.google.com/spreadsheets/d/11923uPwbBZFjjGgGUA6NLw09EwE0CqkOc4q9oUmW1yo/edit?usp=sharing"",""ลำพูน!M495"")"),0)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IFERROR(__xludf.DUMMYFUNCTION("IMPORTRANGE(""https://docs.google.com/spreadsheets/d/11923uPwbBZFjjGgGUA6NLw09EwE0CqkOc4q9oUmW1yo/edit?usp=sharing"",""ลำพูน!L496"")"),4550)</f>
        <v>4550</v>
      </c>
      <c r="M601" s="178"/>
      <c r="N601" s="178">
        <f ca="1">IFERROR(__xludf.DUMMYFUNCTION("IMPORTRANGE(""https://docs.google.com/spreadsheets/d/11923uPwbBZFjjGgGUA6NLw09EwE0CqkOc4q9oUmW1yo/edit?usp=sharing"",""ลำพูน!M496"")"),850)</f>
        <v>850</v>
      </c>
      <c r="O601" s="178">
        <f t="shared" ca="1" si="126"/>
        <v>18.681318681318682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IFERROR(__xludf.DUMMYFUNCTION("IMPORTRANGE(""https://docs.google.com/spreadsheets/d/11923uPwbBZFjjGgGUA6NLw09EwE0CqkOc4q9oUmW1yo/edit?usp=sharing"",""ลำพูน!M497"")"),0)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IFERROR(__xludf.DUMMYFUNCTION("IMPORTRANGE(""https://docs.google.com/spreadsheets/d/11923uPwbBZFjjGgGUA6NLw09EwE0CqkOc4q9oUmW1yo/edit?usp=sharing"",""ลำพูน!M498"")"),0)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IFERROR(__xludf.DUMMYFUNCTION("IMPORTRANGE(""https://docs.google.com/spreadsheets/d/11923uPwbBZFjjGgGUA6NLw09EwE0CqkOc4q9oUmW1yo/edit?usp=sharing"",""ลำพูน!M499"")"),0)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IFERROR(__xludf.DUMMYFUNCTION("IMPORTRANGE(""https://docs.google.com/spreadsheets/d/11923uPwbBZFjjGgGUA6NLw09EwE0CqkOc4q9oUmW1yo/edit?usp=sharing"",""ลำพูน!M500"")"),850)</f>
        <v>850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IFERROR(__xludf.DUMMYFUNCTION("IMPORTRANGE(""https://docs.google.com/spreadsheets/d/11923uPwbBZFjjGgGUA6NLw09EwE0CqkOc4q9oUmW1yo/edit?usp=sharing"",""ลำพูน!J502"")"),0)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IFERROR(__xludf.DUMMYFUNCTION("IMPORTRANGE(""https://docs.google.com/spreadsheets/d/11923uPwbBZFjjGgGUA6NLw09EwE0CqkOc4q9oUmW1yo/edit?usp=sharing"",""ลำพูน!J503"")"),1)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IFERROR(__xludf.DUMMYFUNCTION("IMPORTRANGE(""https://docs.google.com/spreadsheets/d/11923uPwbBZFjjGgGUA6NLw09EwE0CqkOc4q9oUmW1yo/edit?usp=sharing"",""ลำพูน!J166"")"),0)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IFERROR(__xludf.DUMMYFUNCTION("IMPORTRANGE(""https://docs.google.com/spreadsheets/d/11923uPwbBZFjjGgGUA6NLw09EwE0CqkOc4q9oUmW1yo/edit?usp=sharing"",""ลำพูน!J166"")"),0)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IFERROR(__xludf.DUMMYFUNCTION("IMPORTRANGE(""https://docs.google.com/spreadsheets/d/11923uPwbBZFjjGgGUA6NLw09EwE0CqkOc4q9oUmW1yo/edit?usp=sharing"",""ลำพูน!I506"")"),50)</f>
        <v>50</v>
      </c>
      <c r="J611" s="170">
        <f ca="1">IFERROR(__xludf.DUMMYFUNCTION("IMPORTRANGE(""https://docs.google.com/spreadsheets/d/11923uPwbBZFjjGgGUA6NLw09EwE0CqkOc4q9oUmW1yo/edit?usp=sharing"",""ลำพูน!J506"")"),0)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IFERROR(__xludf.DUMMYFUNCTION("IMPORTRANGE(""https://docs.google.com/spreadsheets/d/11923uPwbBZFjjGgGUA6NLw09EwE0CqkOc4q9oUmW1yo/edit?usp=sharing"",""ลำพูน!I507"")"),0)</f>
        <v>0</v>
      </c>
      <c r="J612" s="207">
        <f ca="1">IFERROR(__xludf.DUMMYFUNCTION("IMPORTRANGE(""https://docs.google.com/spreadsheets/d/11923uPwbBZFjjGgGUA6NLw09EwE0CqkOc4q9oUmW1yo/edit?usp=sharing"",""ลำพูน!J507"")"),50)</f>
        <v>50</v>
      </c>
      <c r="K612" s="171">
        <f t="shared" ca="1" si="127"/>
        <v>100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IFERROR(__xludf.DUMMYFUNCTION("IMPORTRANGE(""https://docs.google.com/spreadsheets/d/11923uPwbBZFjjGgGUA6NLw09EwE0CqkOc4q9oUmW1yo/edit?usp=sharing"",""ลำพูน!I508"")"),0)</f>
        <v>0</v>
      </c>
      <c r="J613" s="207">
        <f ca="1">IFERROR(__xludf.DUMMYFUNCTION("IMPORTRANGE(""https://docs.google.com/spreadsheets/d/11923uPwbBZFjjGgGUA6NLw09EwE0CqkOc4q9oUmW1yo/edit?usp=sharing"",""ลำพูน!J508"")"),50)</f>
        <v>50</v>
      </c>
      <c r="K613" s="171">
        <f t="shared" ca="1" si="127"/>
        <v>100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IFERROR(__xludf.DUMMYFUNCTION("IMPORTRANGE(""https://docs.google.com/spreadsheets/d/11923uPwbBZFjjGgGUA6NLw09EwE0CqkOc4q9oUmW1yo/edit?usp=sharing"",""ลำพูน!I509"")"),0)</f>
        <v>0</v>
      </c>
      <c r="J614" s="207">
        <f ca="1">IFERROR(__xludf.DUMMYFUNCTION("IMPORTRANGE(""https://docs.google.com/spreadsheets/d/11923uPwbBZFjjGgGUA6NLw09EwE0CqkOc4q9oUmW1yo/edit?usp=sharing"",""ลำพูน!J509"")"),50)</f>
        <v>50</v>
      </c>
      <c r="K614" s="171">
        <f t="shared" ca="1" si="127"/>
        <v>100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IFERROR(__xludf.DUMMYFUNCTION("IMPORTRANGE(""https://docs.google.com/spreadsheets/d/11923uPwbBZFjjGgGUA6NLw09EwE0CqkOc4q9oUmW1yo/edit?usp=sharing"",""ลำพูน!I510"")"),0)</f>
        <v>0</v>
      </c>
      <c r="J615" s="207">
        <f ca="1">IFERROR(__xludf.DUMMYFUNCTION("IMPORTRANGE(""https://docs.google.com/spreadsheets/d/11923uPwbBZFjjGgGUA6NLw09EwE0CqkOc4q9oUmW1yo/edit?usp=sharing"",""ลำพูน!J510"")"),50)</f>
        <v>50</v>
      </c>
      <c r="K615" s="171">
        <f t="shared" ca="1" si="127"/>
        <v>100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IFERROR(__xludf.DUMMYFUNCTION("IMPORTRANGE(""https://docs.google.com/spreadsheets/d/11923uPwbBZFjjGgGUA6NLw09EwE0CqkOc4q9oUmW1yo/edit?usp=sharing"",""ลำพูน!I511"")"),0)</f>
        <v>0</v>
      </c>
      <c r="J616" s="207">
        <f ca="1">IFERROR(__xludf.DUMMYFUNCTION("IMPORTRANGE(""https://docs.google.com/spreadsheets/d/11923uPwbBZFjjGgGUA6NLw09EwE0CqkOc4q9oUmW1yo/edit?usp=sharing"",""ลำพูน!J511"")"),50)</f>
        <v>50</v>
      </c>
      <c r="K616" s="171">
        <f t="shared" ca="1" si="127"/>
        <v>100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IFERROR(__xludf.DUMMYFUNCTION("IMPORTRANGE(""https://docs.google.com/spreadsheets/d/11923uPwbBZFjjGgGUA6NLw09EwE0CqkOc4q9oUmW1yo/edit?usp=sharing"",""ลำพูน!I512"")"),0)</f>
        <v>0</v>
      </c>
      <c r="J617" s="197">
        <f ca="1">IFERROR(__xludf.DUMMYFUNCTION("IMPORTRANGE(""https://docs.google.com/spreadsheets/d/11923uPwbBZFjjGgGUA6NLw09EwE0CqkOc4q9oUmW1yo/edit?usp=sharing"",""ลำพูน!J512"")"),0)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IFERROR(__xludf.DUMMYFUNCTION("IMPORTRANGE(""https://docs.google.com/spreadsheets/d/11923uPwbBZFjjGgGUA6NLw09EwE0CqkOc4q9oUmW1yo/edit?usp=sharing"",""ลำพูน!I513"")"),0)</f>
        <v>0</v>
      </c>
      <c r="J618" s="198">
        <f ca="1">IFERROR(__xludf.DUMMYFUNCTION("IMPORTRANGE(""https://docs.google.com/spreadsheets/d/11923uPwbBZFjjGgGUA6NLw09EwE0CqkOc4q9oUmW1yo/edit?usp=sharing"",""ลำพูน!J513"")"),0)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IFERROR(__xludf.DUMMYFUNCTION("IMPORTRANGE(""https://docs.google.com/spreadsheets/d/11923uPwbBZFjjGgGUA6NLw09EwE0CqkOc4q9oUmW1yo/edit?usp=sharing"",""ลำพูน!I514"")"),0)</f>
        <v>0</v>
      </c>
      <c r="J619" s="198">
        <f ca="1">IFERROR(__xludf.DUMMYFUNCTION("IMPORTRANGE(""https://docs.google.com/spreadsheets/d/11923uPwbBZFjjGgGUA6NLw09EwE0CqkOc4q9oUmW1yo/edit?usp=sharing"",""ลำพูน!J514"")"),0)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IFERROR(__xludf.DUMMYFUNCTION("IMPORTRANGE(""https://docs.google.com/spreadsheets/d/11923uPwbBZFjjGgGUA6NLw09EwE0CqkOc4q9oUmW1yo/edit?usp=sharing"",""ลำพูน!I515"")"),0)</f>
        <v>0</v>
      </c>
      <c r="J620" s="212">
        <f ca="1">IFERROR(__xludf.DUMMYFUNCTION("IMPORTRANGE(""https://docs.google.com/spreadsheets/d/11923uPwbBZFjjGgGUA6NLw09EwE0CqkOc4q9oUmW1yo/edit?usp=sharing"",""ลำพูน!J515"")"),0)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IFERROR(__xludf.DUMMYFUNCTION("IMPORTRANGE(""https://docs.google.com/spreadsheets/d/11923uPwbBZFjjGgGUA6NLw09EwE0CqkOc4q9oUmW1yo/edit?usp=sharing"",""ลำพูน!I516"")"),0)</f>
        <v>0</v>
      </c>
      <c r="J621" s="212">
        <f ca="1">IFERROR(__xludf.DUMMYFUNCTION("IMPORTRANGE(""https://docs.google.com/spreadsheets/d/11923uPwbBZFjjGgGUA6NLw09EwE0CqkOc4q9oUmW1yo/edit?usp=sharing"",""ลำพูน!J516"")"),0)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IFERROR(__xludf.DUMMYFUNCTION("IMPORTRANGE(""https://docs.google.com/spreadsheets/d/11923uPwbBZFjjGgGUA6NLw09EwE0CqkOc4q9oUmW1yo/edit?usp=sharing"",""ลำพูน!I517"")"),0)</f>
        <v>0</v>
      </c>
      <c r="J622" s="198">
        <f ca="1">IFERROR(__xludf.DUMMYFUNCTION("IMPORTRANGE(""https://docs.google.com/spreadsheets/d/11923uPwbBZFjjGgGUA6NLw09EwE0CqkOc4q9oUmW1yo/edit?usp=sharing"",""ลำพูน!J517"")"),0)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IFERROR(__xludf.DUMMYFUNCTION("IMPORTRANGE(""https://docs.google.com/spreadsheets/d/11923uPwbBZFjjGgGUA6NLw09EwE0CqkOc4q9oUmW1yo/edit?usp=sharing"",""ลำพูน!I518"")"),0)</f>
        <v>0</v>
      </c>
      <c r="J623" s="198">
        <f ca="1">IFERROR(__xludf.DUMMYFUNCTION("IMPORTRANGE(""https://docs.google.com/spreadsheets/d/11923uPwbBZFjjGgGUA6NLw09EwE0CqkOc4q9oUmW1yo/edit?usp=sharing"",""ลำพูน!J518"")"),0)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IFERROR(__xludf.DUMMYFUNCTION("IMPORTRANGE(""https://docs.google.com/spreadsheets/d/11923uPwbBZFjjGgGUA6NLw09EwE0CqkOc4q9oUmW1yo/edit?usp=sharing"",""ลำพูน!I519"")"),0)</f>
        <v>0</v>
      </c>
      <c r="J624" s="197">
        <f ca="1">IFERROR(__xludf.DUMMYFUNCTION("IMPORTRANGE(""https://docs.google.com/spreadsheets/d/11923uPwbBZFjjGgGUA6NLw09EwE0CqkOc4q9oUmW1yo/edit?usp=sharing"",""ลำพูน!J519"")"),0)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IFERROR(__xludf.DUMMYFUNCTION("IMPORTRANGE(""https://docs.google.com/spreadsheets/d/11923uPwbBZFjjGgGUA6NLw09EwE0CqkOc4q9oUmW1yo/edit?usp=sharing"",""ลำพูน!I520"")"),0)</f>
        <v>0</v>
      </c>
      <c r="J625" s="198">
        <f ca="1">IFERROR(__xludf.DUMMYFUNCTION("IMPORTRANGE(""https://docs.google.com/spreadsheets/d/11923uPwbBZFjjGgGUA6NLw09EwE0CqkOc4q9oUmW1yo/edit?usp=sharing"",""ลำพูน!J520"")"),0)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IFERROR(__xludf.DUMMYFUNCTION("IMPORTRANGE(""https://docs.google.com/spreadsheets/d/11923uPwbBZFjjGgGUA6NLw09EwE0CqkOc4q9oUmW1yo/edit?usp=sharing"",""ลำพูน!I521"")"),0)</f>
        <v>0</v>
      </c>
      <c r="J626" s="198">
        <f ca="1">IFERROR(__xludf.DUMMYFUNCTION("IMPORTRANGE(""https://docs.google.com/spreadsheets/d/11923uPwbBZFjjGgGUA6NLw09EwE0CqkOc4q9oUmW1yo/edit?usp=sharing"",""ลำพูน!J521"")"),0)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IFERROR(__xludf.DUMMYFUNCTION("IMPORTRANGE(""https://docs.google.com/spreadsheets/d/11923uPwbBZFjjGgGUA6NLw09EwE0CqkOc4q9oUmW1yo/edit?usp=sharing"",""ลำพูน!I523"")"),6577500)</f>
        <v>6577500</v>
      </c>
      <c r="J628" s="349">
        <f ca="1">IFERROR(__xludf.DUMMYFUNCTION("IMPORTRANGE(""https://docs.google.com/spreadsheets/d/11923uPwbBZFjjGgGUA6NLw09EwE0CqkOc4q9oUmW1yo/edit?usp=sharing"",""ลำพูน!J523"")"),1300047)</f>
        <v>1300047</v>
      </c>
      <c r="K628" s="350">
        <f t="shared" ref="K628:K635" ca="1" si="129">IF(I628&gt;0,J628*100/I628,0)</f>
        <v>19.765062713797036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IFERROR(__xludf.DUMMYFUNCTION("IMPORTRANGE(""https://docs.google.com/spreadsheets/d/11923uPwbBZFjjGgGUA6NLw09EwE0CqkOc4q9oUmW1yo/edit?usp=sharing"",""ลำพูน!I524"")"),219)</f>
        <v>219</v>
      </c>
      <c r="J629" s="349">
        <f ca="1">IFERROR(__xludf.DUMMYFUNCTION("IMPORTRANGE(""https://docs.google.com/spreadsheets/d/11923uPwbBZFjjGgGUA6NLw09EwE0CqkOc4q9oUmW1yo/edit?usp=sharing"",""ลำพูน!J524"")"),49)</f>
        <v>49</v>
      </c>
      <c r="K629" s="350">
        <f t="shared" ca="1" si="129"/>
        <v>22.374429223744293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49">
        <f ca="1">IFERROR(__xludf.DUMMYFUNCTION("IMPORTRANGE(""https://docs.google.com/spreadsheets/d/11923uPwbBZFjjGgGUA6NLw09EwE0CqkOc4q9oUmW1yo/edit?usp=sharing"",""ลำพูน!J525"")"),95884.86)</f>
        <v>95884.86</v>
      </c>
      <c r="K630" s="350">
        <f t="shared" ca="1" si="129"/>
        <v>1.7557909125941724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IFERROR(__xludf.DUMMYFUNCTION("IMPORTRANGE(""https://docs.google.com/spreadsheets/d/11923uPwbBZFjjGgGUA6NLw09EwE0CqkOc4q9oUmW1yo/edit?usp=sharing"",""ลำพูน!I526"")"),213)</f>
        <v>213</v>
      </c>
      <c r="J631" s="349">
        <f ca="1">IFERROR(__xludf.DUMMYFUNCTION("IMPORTRANGE(""https://docs.google.com/spreadsheets/d/11923uPwbBZFjjGgGUA6NLw09EwE0CqkOc4q9oUmW1yo/edit?usp=sharing"",""ลำพูน!J526"")"),21)</f>
        <v>21</v>
      </c>
      <c r="K631" s="350">
        <f t="shared" ca="1" si="129"/>
        <v>9.8591549295774641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IFERROR(__xludf.DUMMYFUNCTION("IMPORTRANGE(""https://docs.google.com/spreadsheets/d/11923uPwbBZFjjGgGUA6NLw09EwE0CqkOc4q9oUmW1yo/edit?usp=sharing"",""ลำพูน!I527"")"),3460652.83)</f>
        <v>3460652.83</v>
      </c>
      <c r="J632" s="349">
        <f ca="1">IFERROR(__xludf.DUMMYFUNCTION("IMPORTRANGE(""https://docs.google.com/spreadsheets/d/11923uPwbBZFjjGgGUA6NLw09EwE0CqkOc4q9oUmW1yo/edit?usp=sharing"",""ลำพูน!J527"")"),151353.14)</f>
        <v>151353.14000000001</v>
      </c>
      <c r="K632" s="350">
        <f t="shared" ca="1" si="129"/>
        <v>4.3735430115363529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IFERROR(__xludf.DUMMYFUNCTION("IMPORTRANGE(""https://docs.google.com/spreadsheets/d/11923uPwbBZFjjGgGUA6NLw09EwE0CqkOc4q9oUmW1yo/edit?usp=sharing"",""ลำพูน!I528"")"),468)</f>
        <v>468</v>
      </c>
      <c r="J633" s="349">
        <f ca="1">IFERROR(__xludf.DUMMYFUNCTION("IMPORTRANGE(""https://docs.google.com/spreadsheets/d/11923uPwbBZFjjGgGUA6NLw09EwE0CqkOc4q9oUmW1yo/edit?usp=sharing"",""ลำพูน!J528"")"),30)</f>
        <v>30</v>
      </c>
      <c r="K633" s="350">
        <f t="shared" ca="1" si="129"/>
        <v>6.4102564102564106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IFERROR(__xludf.DUMMYFUNCTION("IMPORTRANGE(""https://docs.google.com/spreadsheets/d/11923uPwbBZFjjGgGUA6NLw09EwE0CqkOc4q9oUmW1yo/edit?usp=sharing"",""ลำพูน!I529"")"),7000000)</f>
        <v>7000000</v>
      </c>
      <c r="J634" s="349">
        <f ca="1">IFERROR(__xludf.DUMMYFUNCTION("IMPORTRANGE(""https://docs.google.com/spreadsheets/d/11923uPwbBZFjjGgGUA6NLw09EwE0CqkOc4q9oUmW1yo/edit?usp=sharing"",""ลำพูน!J529"")"),870000)</f>
        <v>870000</v>
      </c>
      <c r="K634" s="350">
        <f t="shared" ca="1" si="129"/>
        <v>12.428571428571429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IFERROR(__xludf.DUMMYFUNCTION("IMPORTRANGE(""https://docs.google.com/spreadsheets/d/11923uPwbBZFjjGgGUA6NLw09EwE0CqkOc4q9oUmW1yo/edit?usp=sharing"",""ลำพูน!I530"")"),230)</f>
        <v>230</v>
      </c>
      <c r="J635" s="519">
        <f ca="1">IFERROR(__xludf.DUMMYFUNCTION("IMPORTRANGE(""https://docs.google.com/spreadsheets/d/11923uPwbBZFjjGgGUA6NLw09EwE0CqkOc4q9oUmW1yo/edit?usp=sharing"",""ลำพูน!J530"")"),29)</f>
        <v>29</v>
      </c>
      <c r="K635" s="494">
        <f t="shared" ca="1" si="129"/>
        <v>12.608695652173912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9" sqref="J9"/>
      <selection pane="bottomLeft" activeCell="J9" sqref="J9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8.83203125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266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5440348</v>
      </c>
      <c r="M8" s="25">
        <f t="shared" ca="1" si="0"/>
        <v>1855411</v>
      </c>
      <c r="N8" s="25">
        <f t="shared" ca="1" si="0"/>
        <v>1819226</v>
      </c>
      <c r="O8" s="24">
        <f t="shared" ref="O8:O16" ca="1" si="1">IF(L8&gt;0,N8*100/L8,0)</f>
        <v>33.43951526630282</v>
      </c>
      <c r="P8" s="24">
        <f t="shared" ref="P8:P16" ca="1" si="2">IF(M8&gt;0,N8*100/M8,0)</f>
        <v>98.049758247633548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5440348</v>
      </c>
      <c r="M10" s="32">
        <f t="shared" ca="1" si="4"/>
        <v>1855411</v>
      </c>
      <c r="N10" s="32">
        <f t="shared" ca="1" si="4"/>
        <v>1819226</v>
      </c>
      <c r="O10" s="31">
        <f t="shared" ca="1" si="1"/>
        <v>33.43951526630282</v>
      </c>
      <c r="P10" s="31">
        <f t="shared" ca="1" si="2"/>
        <v>98.049758247633548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5254348</v>
      </c>
      <c r="M12" s="40">
        <f t="shared" ca="1" si="6"/>
        <v>1855411</v>
      </c>
      <c r="N12" s="40">
        <f t="shared" ca="1" si="6"/>
        <v>1643226</v>
      </c>
      <c r="O12" s="40">
        <f t="shared" ca="1" si="1"/>
        <v>31.273642324413991</v>
      </c>
      <c r="P12" s="40">
        <f t="shared" ca="1" si="2"/>
        <v>88.563989326354104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2053100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3201248</v>
      </c>
      <c r="M14" s="40">
        <f t="shared" si="8"/>
        <v>0</v>
      </c>
      <c r="N14" s="40">
        <f t="shared" ca="1" si="8"/>
        <v>329690</v>
      </c>
      <c r="O14" s="43">
        <f t="shared" ca="1" si="1"/>
        <v>10.298795969571866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186000</v>
      </c>
      <c r="M16" s="40">
        <f t="shared" si="10"/>
        <v>0</v>
      </c>
      <c r="N16" s="40">
        <f t="shared" ca="1" si="10"/>
        <v>176000</v>
      </c>
      <c r="O16" s="52">
        <f t="shared" ca="1" si="1"/>
        <v>94.623655913978496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3484365</v>
      </c>
      <c r="M18" s="25">
        <f t="shared" ca="1" si="11"/>
        <v>1855411</v>
      </c>
      <c r="N18" s="25">
        <f t="shared" ca="1" si="11"/>
        <v>1489536</v>
      </c>
      <c r="O18" s="24">
        <f t="shared" ref="O18:O20" ca="1" si="12">IF(L18&gt;0,N18*100/L18,0)</f>
        <v>42.74913793474564</v>
      </c>
      <c r="P18" s="24">
        <f t="shared" ref="P18:P26" ca="1" si="13">IF(M18&gt;0,N18*100/M18,0)</f>
        <v>80.280649408675487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3484365</v>
      </c>
      <c r="M20" s="32">
        <f t="shared" ca="1" si="15"/>
        <v>1855411</v>
      </c>
      <c r="N20" s="32">
        <f t="shared" ca="1" si="15"/>
        <v>1489536</v>
      </c>
      <c r="O20" s="31">
        <f t="shared" ca="1" si="12"/>
        <v>42.74913793474564</v>
      </c>
      <c r="P20" s="31">
        <f t="shared" ca="1" si="13"/>
        <v>80.280649408675487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3298365</v>
      </c>
      <c r="M22" s="44">
        <f t="shared" ca="1" si="18"/>
        <v>1855411</v>
      </c>
      <c r="N22" s="43">
        <f t="shared" ca="1" si="18"/>
        <v>1313536</v>
      </c>
      <c r="O22" s="43">
        <f t="shared" ca="1" si="17"/>
        <v>39.823852120671908</v>
      </c>
      <c r="P22" s="43">
        <f t="shared" ca="1" si="13"/>
        <v>70.794880487396057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2053100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1245265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186000</v>
      </c>
      <c r="M26" s="52">
        <f t="shared" si="22"/>
        <v>0</v>
      </c>
      <c r="N26" s="52">
        <f t="shared" ca="1" si="22"/>
        <v>176000</v>
      </c>
      <c r="O26" s="52">
        <f t="shared" ca="1" si="17"/>
        <v>94.623655913978496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1955983</v>
      </c>
      <c r="M28" s="25">
        <f t="shared" si="23"/>
        <v>0</v>
      </c>
      <c r="N28" s="25">
        <f t="shared" ca="1" si="23"/>
        <v>329690</v>
      </c>
      <c r="O28" s="24">
        <f t="shared" ref="O28:O30" ca="1" si="24">IF(L28&gt;0,N28*100/L28,0)</f>
        <v>16.855463467729525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1955983</v>
      </c>
      <c r="M30" s="32">
        <f t="shared" si="27"/>
        <v>0</v>
      </c>
      <c r="N30" s="32">
        <f t="shared" ca="1" si="27"/>
        <v>329690</v>
      </c>
      <c r="O30" s="31">
        <f t="shared" ca="1" si="24"/>
        <v>16.855463467729525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1955983</v>
      </c>
      <c r="M32" s="43">
        <f t="shared" si="30"/>
        <v>0</v>
      </c>
      <c r="N32" s="43">
        <f t="shared" ca="1" si="30"/>
        <v>329690</v>
      </c>
      <c r="O32" s="43">
        <f t="shared" ca="1" si="29"/>
        <v>16.855463467729525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1955983</v>
      </c>
      <c r="M34" s="43">
        <f t="shared" si="32"/>
        <v>0</v>
      </c>
      <c r="N34" s="43">
        <f t="shared" ca="1" si="32"/>
        <v>329690</v>
      </c>
      <c r="O34" s="43">
        <f t="shared" ca="1" si="29"/>
        <v>16.855463467729525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3484365</v>
      </c>
      <c r="M37" s="57">
        <f t="shared" ca="1" si="33"/>
        <v>1855411</v>
      </c>
      <c r="N37" s="57">
        <f t="shared" ca="1" si="33"/>
        <v>1489536</v>
      </c>
      <c r="O37" s="58">
        <f t="shared" ca="1" si="29"/>
        <v>42.74913793474564</v>
      </c>
      <c r="P37" s="58">
        <f t="shared" ca="1" si="25"/>
        <v>80.280649408675487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787100</v>
      </c>
      <c r="M41" s="81">
        <f t="shared" ca="1" si="34"/>
        <v>421520</v>
      </c>
      <c r="N41" s="81">
        <f t="shared" ca="1" si="34"/>
        <v>317481</v>
      </c>
      <c r="O41" s="80">
        <f t="shared" ref="O41:O43" ca="1" si="35">IF(L41&gt;0,N41*100/L41,0)</f>
        <v>40.335535510100371</v>
      </c>
      <c r="P41" s="80">
        <f t="shared" ref="P41:P43" ca="1" si="36">IF(M41&gt;0,N41*100/M41,0)</f>
        <v>75.318134370848355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787100</v>
      </c>
      <c r="M43" s="81">
        <f t="shared" ca="1" si="38"/>
        <v>421520</v>
      </c>
      <c r="N43" s="81">
        <f t="shared" ca="1" si="38"/>
        <v>317481</v>
      </c>
      <c r="O43" s="80">
        <f t="shared" ca="1" si="35"/>
        <v>40.335535510100371</v>
      </c>
      <c r="P43" s="80">
        <f t="shared" ca="1" si="36"/>
        <v>75.318134370848355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751100</v>
      </c>
      <c r="M45" s="93">
        <f ca="1">IFERROR(__xludf.DUMMYFUNCTION("IMPORTRANGE(""https://docs.google.com/spreadsheets/d/1Yj_ptqi66GCucihVvJfMjLAmec39IyEx_6qawtMGysU/edit?usp=sharing"",""สบก!Q34"")"),421520)</f>
        <v>421520</v>
      </c>
      <c r="N45" s="93">
        <f ca="1">IFERROR(__xludf.DUMMYFUNCTION("IMPORTRANGE(""https://docs.google.com/spreadsheets/d/1Yj_ptqi66GCucihVvJfMjLAmec39IyEx_6qawtMGysU/edit?usp=sharing"",""สบก!R34"")"),291481)</f>
        <v>291481</v>
      </c>
      <c r="O45" s="94">
        <f ca="1">IF(L45&gt;0,N45*100/L45,0)</f>
        <v>38.807216083078153</v>
      </c>
      <c r="P45" s="94">
        <f ca="1">IF(M45&gt;0,N45*100/M45,0)</f>
        <v>69.149981021066623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IFERROR(__xludf.DUMMYFUNCTION("IMPORTRANGE(""https://docs.google.com/spreadsheets/d/1Yj_ptqi66GCucihVvJfMjLAmec39IyEx_6qawtMGysU/edit?usp=sharing"",""สบก!M34"")"),751100)</f>
        <v>751100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IFERROR(__xludf.DUMMYFUNCTION("IMPORTRANGE(""https://docs.google.com/spreadsheets/d/1Yj_ptqi66GCucihVvJfMjLAmec39IyEx_6qawtMGysU/edit?usp=sharing"",""สบก!N34"")"),0)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IFERROR(__xludf.DUMMYFUNCTION("IMPORTRANGE(""https://docs.google.com/spreadsheets/d/1Yj_ptqi66GCucihVvJfMjLAmec39IyEx_6qawtMGysU/edit?usp=sharing"",""สบก!O34"")"),36000)</f>
        <v>36000</v>
      </c>
      <c r="M49" s="103"/>
      <c r="N49" s="93">
        <f ca="1">IFERROR(__xludf.DUMMYFUNCTION("IMPORTRANGE(""https://docs.google.com/spreadsheets/d/1Yj_ptqi66GCucihVvJfMjLAmec39IyEx_6qawtMGysU/edit?usp=sharing"",""สบก!S34"")"),26000)</f>
        <v>26000</v>
      </c>
      <c r="O49" s="103">
        <f ca="1">IF(L49&gt;0,N49*100/L49,0)</f>
        <v>72.222222222222229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450000</v>
      </c>
      <c r="M53" s="127">
        <f t="shared" ca="1" si="39"/>
        <v>242806</v>
      </c>
      <c r="N53" s="127">
        <f t="shared" ca="1" si="39"/>
        <v>240023</v>
      </c>
      <c r="O53" s="126">
        <f t="shared" ref="O53:O55" ca="1" si="40">IF(L53&gt;0,N53*100/L53,0)</f>
        <v>53.338444444444441</v>
      </c>
      <c r="P53" s="126">
        <f t="shared" ref="P53:P55" ca="1" si="41">IF(M53&gt;0,N53*100/M53,0)</f>
        <v>98.853817450969089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450000</v>
      </c>
      <c r="M55" s="127">
        <f t="shared" ca="1" si="43"/>
        <v>242806</v>
      </c>
      <c r="N55" s="127">
        <f t="shared" ca="1" si="43"/>
        <v>240023</v>
      </c>
      <c r="O55" s="126">
        <f t="shared" ca="1" si="40"/>
        <v>53.338444444444441</v>
      </c>
      <c r="P55" s="126">
        <f t="shared" ca="1" si="41"/>
        <v>98.853817450969089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450000</v>
      </c>
      <c r="M57" s="93">
        <f ca="1">IFERROR(__xludf.DUMMYFUNCTION("IMPORTRANGE(""https://docs.google.com/spreadsheets/d/1Yj_ptqi66GCucihVvJfMjLAmec39IyEx_6qawtMGysU/edit?usp=sharing"",""สบก!Z34"")"),242806)</f>
        <v>242806</v>
      </c>
      <c r="N57" s="93">
        <f ca="1">IFERROR(__xludf.DUMMYFUNCTION("IMPORTRANGE(""https://docs.google.com/spreadsheets/d/1Yj_ptqi66GCucihVvJfMjLAmec39IyEx_6qawtMGysU/edit?usp=sharing"",""สบก!AA34"")"),240023)</f>
        <v>240023</v>
      </c>
      <c r="O57" s="94">
        <f ca="1">IF(L57&gt;0,N57*100/L57,0)</f>
        <v>53.338444444444441</v>
      </c>
      <c r="P57" s="94">
        <f ca="1">IF(M57&gt;0,N57*100/M57,0)</f>
        <v>98.853817450969089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IFERROR(__xludf.DUMMYFUNCTION("IMPORTRANGE(""https://docs.google.com/spreadsheets/d/1Yj_ptqi66GCucihVvJfMjLAmec39IyEx_6qawtMGysU/edit?usp=sharing"",""สบก!V34"")"),450000)</f>
        <v>450000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IFERROR(__xludf.DUMMYFUNCTION("IMPORTRANGE(""https://docs.google.com/spreadsheets/d/1Yj_ptqi66GCucihVvJfMjLAmec39IyEx_6qawtMGysU/edit?usp=sharing"",""สบก!W34"")"),0)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IFERROR(__xludf.DUMMYFUNCTION("IMPORTRANGE(""https://docs.google.com/spreadsheets/d/1Yj_ptqi66GCucihVvJfMjLAmec39IyEx_6qawtMGysU/edit?usp=sharing"",""สบก!X34"")"),0)</f>
        <v>0</v>
      </c>
      <c r="M61" s="103"/>
      <c r="N61" s="93">
        <f ca="1">IFERROR(__xludf.DUMMYFUNCTION("IMPORTRANGE(""https://docs.google.com/spreadsheets/d/1Yj_ptqi66GCucihVvJfMjLAmec39IyEx_6qawtMGysU/edit?usp=sharing"",""สบก!AB34"")"),0)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IFERROR(__xludf.DUMMYFUNCTION("IMPORTRANGE(""https://docs.google.com/spreadsheets/d/11923uPwbBZFjjGgGUA6NLw09EwE0CqkOc4q9oUmW1yo/edit?usp=sharing"",""สุโขทัย!I9"")"),1)</f>
        <v>1</v>
      </c>
      <c r="J64" s="148">
        <f ca="1">IFERROR(__xludf.DUMMYFUNCTION("IMPORTRANGE(""https://docs.google.com/spreadsheets/d/11923uPwbBZFjjGgGUA6NLw09EwE0CqkOc4q9oUmW1yo/edit?usp=sharing"",""สุโขทัย!J9"")"),1)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IFERROR(__xludf.DUMMYFUNCTION("IMPORTRANGE(""https://docs.google.com/spreadsheets/d/11923uPwbBZFjjGgGUA6NLw09EwE0CqkOc4q9oUmW1yo/edit?usp=sharing"",""สุโขทัย!I10"")"),75)</f>
        <v>75</v>
      </c>
      <c r="J65" s="148">
        <f ca="1">IFERROR(__xludf.DUMMYFUNCTION("IMPORTRANGE(""https://docs.google.com/spreadsheets/d/11923uPwbBZFjjGgGUA6NLw09EwE0CqkOc4q9oUmW1yo/edit?usp=sharing"",""สุโขทัย!J10"")"),75)</f>
        <v>75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956800</v>
      </c>
      <c r="M66" s="158">
        <f t="shared" ca="1" si="45"/>
        <v>440020</v>
      </c>
      <c r="N66" s="158">
        <f t="shared" ca="1" si="45"/>
        <v>404857</v>
      </c>
      <c r="O66" s="157">
        <f t="shared" ref="O66:O68" ca="1" si="46">IF(L66&gt;0,N66*100/L66,0)</f>
        <v>42.313649665551843</v>
      </c>
      <c r="P66" s="157">
        <f t="shared" ref="P66:P68" ca="1" si="47">IF(M66&gt;0,N66*100/M66,0)</f>
        <v>92.008772328530526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956800</v>
      </c>
      <c r="M68" s="163">
        <f t="shared" ca="1" si="49"/>
        <v>440020</v>
      </c>
      <c r="N68" s="163">
        <f t="shared" ca="1" si="49"/>
        <v>404857</v>
      </c>
      <c r="O68" s="162">
        <f t="shared" ca="1" si="46"/>
        <v>42.313649665551843</v>
      </c>
      <c r="P68" s="162">
        <f t="shared" ca="1" si="47"/>
        <v>92.008772328530526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806800</v>
      </c>
      <c r="M70" s="176">
        <f ca="1">IFERROR(__xludf.DUMMYFUNCTION("IMPORTRANGE(""https://docs.google.com/spreadsheets/d/1Yj_ptqi66GCucihVvJfMjLAmec39IyEx_6qawtMGysU/edit?usp=sharing"",""สบก!AI34"")"),440020)</f>
        <v>440020</v>
      </c>
      <c r="N70" s="177">
        <f ca="1">IFERROR(__xludf.DUMMYFUNCTION("IMPORTRANGE(""https://docs.google.com/spreadsheets/d/1Yj_ptqi66GCucihVvJfMjLAmec39IyEx_6qawtMGysU/edit?usp=sharing"",""สบก!AJ34"")"),254857)</f>
        <v>254857</v>
      </c>
      <c r="O70" s="178">
        <f ca="1">IF(L70&gt;0,N70*100/L70,0)</f>
        <v>31.588621715418938</v>
      </c>
      <c r="P70" s="178">
        <f ca="1">IF(M70&gt;0,N70*100/M70,0)</f>
        <v>57.91941275396573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IFERROR(__xludf.DUMMYFUNCTION("IMPORTRANGE(""https://docs.google.com/spreadsheets/d/1Yj_ptqi66GCucihVvJfMjLAmec39IyEx_6qawtMGysU/edit?usp=sharing"",""สบก!AE34"")"),190800)</f>
        <v>190800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IFERROR(__xludf.DUMMYFUNCTION("IMPORTRANGE(""https://docs.google.com/spreadsheets/d/1Yj_ptqi66GCucihVvJfMjLAmec39IyEx_6qawtMGysU/edit?usp=sharing"",""สบก!AF34"")"),616000)</f>
        <v>616000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IFERROR(__xludf.DUMMYFUNCTION("IMPORTRANGE(""https://docs.google.com/spreadsheets/d/1Yj_ptqi66GCucihVvJfMjLAmec39IyEx_6qawtMGysU/edit?usp=sharing"",""สบก!AG34"")"),150000)</f>
        <v>150000</v>
      </c>
      <c r="M74" s="103"/>
      <c r="N74" s="93">
        <f ca="1">IFERROR(__xludf.DUMMYFUNCTION("IMPORTRANGE(""https://docs.google.com/spreadsheets/d/1Yj_ptqi66GCucihVvJfMjLAmec39IyEx_6qawtMGysU/edit?usp=sharing"",""สบก!AK34"")"),150000)</f>
        <v>150000</v>
      </c>
      <c r="O74" s="103">
        <f ca="1">IF(L74&gt;0,N74*100/L74,0)</f>
        <v>100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IFERROR(__xludf.DUMMYFUNCTION("IMPORTRANGE(""https://docs.google.com/spreadsheets/d/11923uPwbBZFjjGgGUA6NLw09EwE0CqkOc4q9oUmW1yo/edit?usp=sharing"",""สุโขทัย!J16"")"),0)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IFERROR(__xludf.DUMMYFUNCTION("IMPORTRANGE(""https://docs.google.com/spreadsheets/d/11923uPwbBZFjjGgGUA6NLw09EwE0CqkOc4q9oUmW1yo/edit?usp=sharing"",""สุโขทัย!J17"")"),1)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IFERROR(__xludf.DUMMYFUNCTION("IMPORTRANGE(""https://docs.google.com/spreadsheets/d/11923uPwbBZFjjGgGUA6NLw09EwE0CqkOc4q9oUmW1yo/edit?usp=sharing"",""สุโขทัย!J18"")"),1)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IFERROR(__xludf.DUMMYFUNCTION("IMPORTRANGE(""https://docs.google.com/spreadsheets/d/11923uPwbBZFjjGgGUA6NLw09EwE0CqkOc4q9oUmW1yo/edit?usp=sharing"",""สุโขทัย!J19"")"),0)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IFERROR(__xludf.DUMMYFUNCTION("IMPORTRANGE(""https://docs.google.com/spreadsheets/d/11923uPwbBZFjjGgGUA6NLw09EwE0CqkOc4q9oUmW1yo/edit?usp=sharing"",""สุโขทัย!I20"")"),1)</f>
        <v>1</v>
      </c>
      <c r="J80" s="210">
        <f ca="1">IFERROR(__xludf.DUMMYFUNCTION("IMPORTRANGE(""https://docs.google.com/spreadsheets/d/11923uPwbBZFjjGgGUA6NLw09EwE0CqkOc4q9oUmW1yo/edit?usp=sharing"",""สุโขทัย!J20"")"),1)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IFERROR(__xludf.DUMMYFUNCTION("IMPORTRANGE(""https://docs.google.com/spreadsheets/d/11923uPwbBZFjjGgGUA6NLw09EwE0CqkOc4q9oUmW1yo/edit?usp=sharing"",""สุโขทัย!I21"")"),75)</f>
        <v>75</v>
      </c>
      <c r="J81" s="210">
        <f ca="1">IFERROR(__xludf.DUMMYFUNCTION("IMPORTRANGE(""https://docs.google.com/spreadsheets/d/11923uPwbBZFjjGgGUA6NLw09EwE0CqkOc4q9oUmW1yo/edit?usp=sharing"",""สุโขทัย!J21"")"),75)</f>
        <v>75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IFERROR(__xludf.DUMMYFUNCTION("IMPORTRANGE(""https://docs.google.com/spreadsheets/d/11923uPwbBZFjjGgGUA6NLw09EwE0CqkOc4q9oUmW1yo/edit?usp=sharing"",""สุโขทัย!I22"")"),0)</f>
        <v>0</v>
      </c>
      <c r="J82" s="213">
        <f ca="1">IFERROR(__xludf.DUMMYFUNCTION("IMPORTRANGE(""https://docs.google.com/spreadsheets/d/11923uPwbBZFjjGgGUA6NLw09EwE0CqkOc4q9oUmW1yo/edit?usp=sharing"",""สุโขทัย!J22"")"),0)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IFERROR(__xludf.DUMMYFUNCTION("IMPORTRANGE(""https://docs.google.com/spreadsheets/d/11923uPwbBZFjjGgGUA6NLw09EwE0CqkOc4q9oUmW1yo/edit?usp=sharing"",""สุโขทัย!I23"")"),0)</f>
        <v>0</v>
      </c>
      <c r="J83" s="213">
        <f ca="1">IFERROR(__xludf.DUMMYFUNCTION("IMPORTRANGE(""https://docs.google.com/spreadsheets/d/11923uPwbBZFjjGgGUA6NLw09EwE0CqkOc4q9oUmW1yo/edit?usp=sharing"",""สุโขทัย!J23"")"),0)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IFERROR(__xludf.DUMMYFUNCTION("IMPORTRANGE(""https://docs.google.com/spreadsheets/d/11923uPwbBZFjjGgGUA6NLw09EwE0CqkOc4q9oUmW1yo/edit?usp=sharing"",""สุโขทัย!I24"")"),1)</f>
        <v>1</v>
      </c>
      <c r="J84" s="198">
        <f ca="1">IFERROR(__xludf.DUMMYFUNCTION("IMPORTRANGE(""https://docs.google.com/spreadsheets/d/11923uPwbBZFjjGgGUA6NLw09EwE0CqkOc4q9oUmW1yo/edit?usp=sharing"",""สุโขทัย!J24"")"),1)</f>
        <v>1</v>
      </c>
      <c r="K84" s="171">
        <f t="shared" ca="1" si="50"/>
        <v>100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IFERROR(__xludf.DUMMYFUNCTION("IMPORTRANGE(""https://docs.google.com/spreadsheets/d/11923uPwbBZFjjGgGUA6NLw09EwE0CqkOc4q9oUmW1yo/edit?usp=sharing"",""สุโขทัย!I25"")"),75)</f>
        <v>75</v>
      </c>
      <c r="J85" s="198">
        <f ca="1">IFERROR(__xludf.DUMMYFUNCTION("IMPORTRANGE(""https://docs.google.com/spreadsheets/d/11923uPwbBZFjjGgGUA6NLw09EwE0CqkOc4q9oUmW1yo/edit?usp=sharing"",""สุโขทัย!J25"")"),75)</f>
        <v>75</v>
      </c>
      <c r="K85" s="171">
        <f t="shared" ca="1" si="50"/>
        <v>100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IFERROR(__xludf.DUMMYFUNCTION("IMPORTRANGE(""https://docs.google.com/spreadsheets/d/11923uPwbBZFjjGgGUA6NLw09EwE0CqkOc4q9oUmW1yo/edit?usp=sharing"",""สุโขทัย!I26"")"),0)</f>
        <v>0</v>
      </c>
      <c r="J86" s="213">
        <f ca="1">IFERROR(__xludf.DUMMYFUNCTION("IMPORTRANGE(""https://docs.google.com/spreadsheets/d/11923uPwbBZFjjGgGUA6NLw09EwE0CqkOc4q9oUmW1yo/edit?usp=sharing"",""สุโขทัย!J26"")"),0)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IFERROR(__xludf.DUMMYFUNCTION("IMPORTRANGE(""https://docs.google.com/spreadsheets/d/11923uPwbBZFjjGgGUA6NLw09EwE0CqkOc4q9oUmW1yo/edit?usp=sharing"",""สุโขทัย!I27"")"),0)</f>
        <v>0</v>
      </c>
      <c r="J87" s="213">
        <f ca="1">IFERROR(__xludf.DUMMYFUNCTION("IMPORTRANGE(""https://docs.google.com/spreadsheets/d/11923uPwbBZFjjGgGUA6NLw09EwE0CqkOc4q9oUmW1yo/edit?usp=sharing"",""สุโขทัย!J27"")"),0)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IFERROR(__xludf.DUMMYFUNCTION("IMPORTRANGE(""https://docs.google.com/spreadsheets/d/11923uPwbBZFjjGgGUA6NLw09EwE0CqkOc4q9oUmW1yo/edit?usp=sharing"",""สุโขทัย!I28"")"),0)</f>
        <v>0</v>
      </c>
      <c r="J88" s="213">
        <f ca="1">IFERROR(__xludf.DUMMYFUNCTION("IMPORTRANGE(""https://docs.google.com/spreadsheets/d/11923uPwbBZFjjGgGUA6NLw09EwE0CqkOc4q9oUmW1yo/edit?usp=sharing"",""สุโขทัย!J28"")"),0)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IFERROR(__xludf.DUMMYFUNCTION("IMPORTRANGE(""https://docs.google.com/spreadsheets/d/11923uPwbBZFjjGgGUA6NLw09EwE0CqkOc4q9oUmW1yo/edit?usp=sharing"",""สุโขทัย!J29"")"),0)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IFERROR(__xludf.DUMMYFUNCTION("IMPORTRANGE(""https://docs.google.com/spreadsheets/d/11923uPwbBZFjjGgGUA6NLw09EwE0CqkOc4q9oUmW1yo/edit?usp=sharing"",""สุโขทัย!J30"")"),0)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IFERROR(__xludf.DUMMYFUNCTION("IMPORTRANGE(""https://docs.google.com/spreadsheets/d/11923uPwbBZFjjGgGUA6NLw09EwE0CqkOc4q9oUmW1yo/edit?usp=sharing"",""สุโขทัย!I32"")"),0)</f>
        <v>0</v>
      </c>
      <c r="J92" s="148">
        <f ca="1">IFERROR(__xludf.DUMMYFUNCTION("IMPORTRANGE(""https://docs.google.com/spreadsheets/d/11923uPwbBZFjjGgGUA6NLw09EwE0CqkOc4q9oUmW1yo/edit?usp=sharing"",""สุโขทัย!J32"")"),0)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IFERROR(__xludf.DUMMYFUNCTION("IMPORTRANGE(""https://docs.google.com/spreadsheets/d/11923uPwbBZFjjGgGUA6NLw09EwE0CqkOc4q9oUmW1yo/edit?usp=sharing"",""สุโขทัย!I33"")"),0)</f>
        <v>0</v>
      </c>
      <c r="J93" s="148">
        <f ca="1">IFERROR(__xludf.DUMMYFUNCTION("IMPORTRANGE(""https://docs.google.com/spreadsheets/d/11923uPwbBZFjjGgGUA6NLw09EwE0CqkOc4q9oUmW1yo/edit?usp=sharing"",""สุโขทัย!J33"")"),0)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IFERROR(__xludf.DUMMYFUNCTION("IMPORTRANGE(""https://docs.google.com/spreadsheets/d/1Yj_ptqi66GCucihVvJfMjLAmec39IyEx_6qawtMGysU/edit?usp=sharing"",""สบก!AR34"")"),0)</f>
        <v>0</v>
      </c>
      <c r="N98" s="177">
        <f ca="1">IFERROR(__xludf.DUMMYFUNCTION("IMPORTRANGE(""https://docs.google.com/spreadsheets/d/1Yj_ptqi66GCucihVvJfMjLAmec39IyEx_6qawtMGysU/edit?usp=sharing"",""สบก!AS34"")"),0)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IFERROR(__xludf.DUMMYFUNCTION("IMPORTRANGE(""https://docs.google.com/spreadsheets/d/1Yj_ptqi66GCucihVvJfMjLAmec39IyEx_6qawtMGysU/edit?usp=sharing"",""สบก!AN34"")"),0)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IFERROR(__xludf.DUMMYFUNCTION("IMPORTRANGE(""https://docs.google.com/spreadsheets/d/1Yj_ptqi66GCucihVvJfMjLAmec39IyEx_6qawtMGysU/edit?usp=sharing"",""สบก!AO34"")"),0)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IFERROR(__xludf.DUMMYFUNCTION("IMPORTRANGE(""https://docs.google.com/spreadsheets/d/1Yj_ptqi66GCucihVvJfMjLAmec39IyEx_6qawtMGysU/edit?usp=sharing"",""สบก!AP34"")"),0)</f>
        <v>0</v>
      </c>
      <c r="M102" s="103"/>
      <c r="N102" s="93">
        <f ca="1">IFERROR(__xludf.DUMMYFUNCTION("IMPORTRANGE(""https://docs.google.com/spreadsheets/d/1Yj_ptqi66GCucihVvJfMjLAmec39IyEx_6qawtMGysU/edit?usp=sharing"",""สบก!AT34"")"),0)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IFERROR(__xludf.DUMMYFUNCTION("IMPORTRANGE(""https://docs.google.com/spreadsheets/d/11923uPwbBZFjjGgGUA6NLw09EwE0CqkOc4q9oUmW1yo/edit?usp=sharing"",""สุโขทัย!J39"")"),0)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IFERROR(__xludf.DUMMYFUNCTION("IMPORTRANGE(""https://docs.google.com/spreadsheets/d/11923uPwbBZFjjGgGUA6NLw09EwE0CqkOc4q9oUmW1yo/edit?usp=sharing"",""สุโขทัย!J40"")"),0)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IFERROR(__xludf.DUMMYFUNCTION("IMPORTRANGE(""https://docs.google.com/spreadsheets/d/11923uPwbBZFjjGgGUA6NLw09EwE0CqkOc4q9oUmW1yo/edit?usp=sharing"",""สุโขทัย!J41"")"),0)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IFERROR(__xludf.DUMMYFUNCTION("IMPORTRANGE(""https://docs.google.com/spreadsheets/d/11923uPwbBZFjjGgGUA6NLw09EwE0CqkOc4q9oUmW1yo/edit?usp=sharing"",""สุโขทัย!J42"")"),0)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IFERROR(__xludf.DUMMYFUNCTION("IMPORTRANGE(""https://docs.google.com/spreadsheets/d/11923uPwbBZFjjGgGUA6NLw09EwE0CqkOc4q9oUmW1yo/edit?usp=sharing"",""สุโขทัย!I43"")"),0)</f>
        <v>0</v>
      </c>
      <c r="J108" s="213">
        <f ca="1">IFERROR(__xludf.DUMMYFUNCTION("IMPORTRANGE(""https://docs.google.com/spreadsheets/d/11923uPwbBZFjjGgGUA6NLw09EwE0CqkOc4q9oUmW1yo/edit?usp=sharing"",""สุโขทัย!J43"")"),0)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IFERROR(__xludf.DUMMYFUNCTION("IMPORTRANGE(""https://docs.google.com/spreadsheets/d/11923uPwbBZFjjGgGUA6NLw09EwE0CqkOc4q9oUmW1yo/edit?usp=sharing"",""สุโขทัย!I44"")"),0)</f>
        <v>0</v>
      </c>
      <c r="J109" s="213">
        <f ca="1">IFERROR(__xludf.DUMMYFUNCTION("IMPORTRANGE(""https://docs.google.com/spreadsheets/d/11923uPwbBZFjjGgGUA6NLw09EwE0CqkOc4q9oUmW1yo/edit?usp=sharing"",""สุโขทัย!J44"")"),0)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IFERROR(__xludf.DUMMYFUNCTION("IMPORTRANGE(""https://docs.google.com/spreadsheets/d/11923uPwbBZFjjGgGUA6NLw09EwE0CqkOc4q9oUmW1yo/edit?usp=sharing"",""สุโขทัย!I45"")"),0)</f>
        <v>0</v>
      </c>
      <c r="J110" s="213">
        <f ca="1">IFERROR(__xludf.DUMMYFUNCTION("IMPORTRANGE(""https://docs.google.com/spreadsheets/d/11923uPwbBZFjjGgGUA6NLw09EwE0CqkOc4q9oUmW1yo/edit?usp=sharing"",""สุโขทัย!J45"")"),0)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IFERROR(__xludf.DUMMYFUNCTION("IMPORTRANGE(""https://docs.google.com/spreadsheets/d/11923uPwbBZFjjGgGUA6NLw09EwE0CqkOc4q9oUmW1yo/edit?usp=sharing"",""สุโขทัย!I46"")"),0)</f>
        <v>0</v>
      </c>
      <c r="J111" s="213">
        <f ca="1">IFERROR(__xludf.DUMMYFUNCTION("IMPORTRANGE(""https://docs.google.com/spreadsheets/d/11923uPwbBZFjjGgGUA6NLw09EwE0CqkOc4q9oUmW1yo/edit?usp=sharing"",""สุโขทัย!J46"")"),0)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IFERROR(__xludf.DUMMYFUNCTION("IMPORTRANGE(""https://docs.google.com/spreadsheets/d/11923uPwbBZFjjGgGUA6NLw09EwE0CqkOc4q9oUmW1yo/edit?usp=sharing"",""สุโขทัย!I47"")"),0)</f>
        <v>0</v>
      </c>
      <c r="J112" s="213">
        <f ca="1">IFERROR(__xludf.DUMMYFUNCTION("IMPORTRANGE(""https://docs.google.com/spreadsheets/d/11923uPwbBZFjjGgGUA6NLw09EwE0CqkOc4q9oUmW1yo/edit?usp=sharing"",""สุโขทัย!J47"")"),0)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IFERROR(__xludf.DUMMYFUNCTION("IMPORTRANGE(""https://docs.google.com/spreadsheets/d/11923uPwbBZFjjGgGUA6NLw09EwE0CqkOc4q9oUmW1yo/edit?usp=sharing"",""สุโขทัย!I48"")"),0)</f>
        <v>0</v>
      </c>
      <c r="J113" s="213">
        <f ca="1">IFERROR(__xludf.DUMMYFUNCTION("IMPORTRANGE(""https://docs.google.com/spreadsheets/d/11923uPwbBZFjjGgGUA6NLw09EwE0CqkOc4q9oUmW1yo/edit?usp=sharing"",""สุโขทัย!J48"")"),0)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IFERROR(__xludf.DUMMYFUNCTION("IMPORTRANGE(""https://docs.google.com/spreadsheets/d/11923uPwbBZFjjGgGUA6NLw09EwE0CqkOc4q9oUmW1yo/edit?usp=sharing"",""สุโขทัย!J49"")"),0)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IFERROR(__xludf.DUMMYFUNCTION("IMPORTRANGE(""https://docs.google.com/spreadsheets/d/11923uPwbBZFjjGgGUA6NLw09EwE0CqkOc4q9oUmW1yo/edit?usp=sharing"",""สุโขทัย!J50"")"),0)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IFERROR(__xludf.DUMMYFUNCTION("IMPORTRANGE(""https://docs.google.com/spreadsheets/d/11923uPwbBZFjjGgGUA6NLw09EwE0CqkOc4q9oUmW1yo/edit?usp=sharing"",""สุโขทัย!I52"")"),20)</f>
        <v>20</v>
      </c>
      <c r="J117" s="148">
        <f ca="1">IFERROR(__xludf.DUMMYFUNCTION("IMPORTRANGE(""https://docs.google.com/spreadsheets/d/11923uPwbBZFjjGgGUA6NLw09EwE0CqkOc4q9oUmW1yo/edit?usp=sharing"",""สุโขทัย!J52"")"),20)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58430</v>
      </c>
      <c r="O118" s="157">
        <f t="shared" ref="O118:O120" ca="1" si="59">IF(L118&gt;0,N118*100/L118,0)</f>
        <v>70.875788452207672</v>
      </c>
      <c r="P118" s="157">
        <f t="shared" ref="P118:P120" ca="1" si="60">IF(M118&gt;0,N118*100/M118,0)</f>
        <v>87.94400963275136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58430</v>
      </c>
      <c r="O120" s="162">
        <f t="shared" ca="1" si="59"/>
        <v>70.875788452207672</v>
      </c>
      <c r="P120" s="162">
        <f t="shared" ca="1" si="60"/>
        <v>87.94400963275136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IFERROR(__xludf.DUMMYFUNCTION("IMPORTRANGE(""https://docs.google.com/spreadsheets/d/1Yj_ptqi66GCucihVvJfMjLAmec39IyEx_6qawtMGysU/edit?usp=sharing"",""สบก!BA34"")"),66440)</f>
        <v>66440</v>
      </c>
      <c r="N122" s="177">
        <f ca="1">IFERROR(__xludf.DUMMYFUNCTION("IMPORTRANGE(""https://docs.google.com/spreadsheets/d/1Yj_ptqi66GCucihVvJfMjLAmec39IyEx_6qawtMGysU/edit?usp=sharing"",""สบก!BB34"")"),58430)</f>
        <v>58430</v>
      </c>
      <c r="O122" s="178">
        <f ca="1">IF(L122&gt;0,N122*100/L122,0)</f>
        <v>70.875788452207672</v>
      </c>
      <c r="P122" s="178">
        <f ca="1">IF(M122&gt;0,N122*100/M122,0)</f>
        <v>87.94400963275136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IFERROR(__xludf.DUMMYFUNCTION("IMPORTRANGE(""https://docs.google.com/spreadsheets/d/1Yj_ptqi66GCucihVvJfMjLAmec39IyEx_6qawtMGysU/edit?usp=sharing"",""สบก!AW34"")"),0)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IFERROR(__xludf.DUMMYFUNCTION("IMPORTRANGE(""https://docs.google.com/spreadsheets/d/1Yj_ptqi66GCucihVvJfMjLAmec39IyEx_6qawtMGysU/edit?usp=sharing"",""สบก!AX34"")"),82440)</f>
        <v>82440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IFERROR(__xludf.DUMMYFUNCTION("IMPORTRANGE(""https://docs.google.com/spreadsheets/d/1Yj_ptqi66GCucihVvJfMjLAmec39IyEx_6qawtMGysU/edit?usp=sharing"",""สบก!AY34"")"),0)</f>
        <v>0</v>
      </c>
      <c r="M126" s="103"/>
      <c r="N126" s="93">
        <f ca="1">IFERROR(__xludf.DUMMYFUNCTION("IMPORTRANGE(""https://docs.google.com/spreadsheets/d/1Yj_ptqi66GCucihVvJfMjLAmec39IyEx_6qawtMGysU/edit?usp=sharing"",""สบก!BC34"")"),0)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267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IFERROR(__xludf.DUMMYFUNCTION("IMPORTRANGE(""https://docs.google.com/spreadsheets/d/11923uPwbBZFjjGgGUA6NLw09EwE0CqkOc4q9oUmW1yo/edit?usp=sharing"",""สุโขทัย!J58"")"),0)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IFERROR(__xludf.DUMMYFUNCTION("IMPORTRANGE(""https://docs.google.com/spreadsheets/d/11923uPwbBZFjjGgGUA6NLw09EwE0CqkOc4q9oUmW1yo/edit?usp=sharing"",""สุโขทัย!J59"")"),1)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IFERROR(__xludf.DUMMYFUNCTION("IMPORTRANGE(""https://docs.google.com/spreadsheets/d/11923uPwbBZFjjGgGUA6NLw09EwE0CqkOc4q9oUmW1yo/edit?usp=sharing"",""สุโขทัย!J60"")"),1)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IFERROR(__xludf.DUMMYFUNCTION("IMPORTRANGE(""https://docs.google.com/spreadsheets/d/11923uPwbBZFjjGgGUA6NLw09EwE0CqkOc4q9oUmW1yo/edit?usp=sharing"",""สุโขทัย!J61"")"),0)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IFERROR(__xludf.DUMMYFUNCTION("IMPORTRANGE(""https://docs.google.com/spreadsheets/d/11923uPwbBZFjjGgGUA6NLw09EwE0CqkOc4q9oUmW1yo/edit?usp=sharing"",""สุโขทัย!I62"")"),20)</f>
        <v>20</v>
      </c>
      <c r="J132" s="213">
        <f ca="1">IFERROR(__xludf.DUMMYFUNCTION("IMPORTRANGE(""https://docs.google.com/spreadsheets/d/11923uPwbBZFjjGgGUA6NLw09EwE0CqkOc4q9oUmW1yo/edit?usp=sharing"",""สุโขทัย!J62"")"),20)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IFERROR(__xludf.DUMMYFUNCTION("IMPORTRANGE(""https://docs.google.com/spreadsheets/d/11923uPwbBZFjjGgGUA6NLw09EwE0CqkOc4q9oUmW1yo/edit?usp=sharing"",""สุโขทัย!I63"")"),20)</f>
        <v>20</v>
      </c>
      <c r="J133" s="213">
        <f ca="1">IFERROR(__xludf.DUMMYFUNCTION("IMPORTRANGE(""https://docs.google.com/spreadsheets/d/11923uPwbBZFjjGgGUA6NLw09EwE0CqkOc4q9oUmW1yo/edit?usp=sharing"",""สุโขทัย!J63"")"),0)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IFERROR(__xludf.DUMMYFUNCTION("IMPORTRANGE(""https://docs.google.com/spreadsheets/d/11923uPwbBZFjjGgGUA6NLw09EwE0CqkOc4q9oUmW1yo/edit?usp=sharing"",""สุโขทัย!J64"")"),0)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IFERROR(__xludf.DUMMYFUNCTION("IMPORTRANGE(""https://docs.google.com/spreadsheets/d/11923uPwbBZFjjGgGUA6NLw09EwE0CqkOc4q9oUmW1yo/edit?usp=sharing"",""สุโขทัย!J65"")"),0)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IFERROR(__xludf.DUMMYFUNCTION("IMPORTRANGE(""https://docs.google.com/spreadsheets/d/11923uPwbBZFjjGgGUA6NLw09EwE0CqkOc4q9oUmW1yo/edit?usp=sharing"",""สุโขทัย!I68"")"),0)</f>
        <v>0</v>
      </c>
      <c r="J138" s="276">
        <f ca="1">IFERROR(__xludf.DUMMYFUNCTION("IMPORTRANGE(""https://docs.google.com/spreadsheets/d/11923uPwbBZFjjGgGUA6NLw09EwE0CqkOc4q9oUmW1yo/edit?usp=sharing"",""สุโขทัย!J68"")"),0)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83000</v>
      </c>
      <c r="M140" s="158">
        <f t="shared" ca="1" si="64"/>
        <v>59750</v>
      </c>
      <c r="N140" s="158">
        <f t="shared" ca="1" si="64"/>
        <v>13480</v>
      </c>
      <c r="O140" s="157">
        <f t="shared" ref="O140:O142" ca="1" si="65">IF(L140&gt;0,N140*100/L140,0)</f>
        <v>16.240963855421686</v>
      </c>
      <c r="P140" s="157">
        <f t="shared" ref="P140:P142" ca="1" si="66">IF(M140&gt;0,N140*100/M140,0)</f>
        <v>22.560669456066947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83000</v>
      </c>
      <c r="M142" s="163">
        <f t="shared" ca="1" si="68"/>
        <v>59750</v>
      </c>
      <c r="N142" s="163">
        <f t="shared" ca="1" si="68"/>
        <v>13480</v>
      </c>
      <c r="O142" s="162">
        <f t="shared" ca="1" si="65"/>
        <v>16.240963855421686</v>
      </c>
      <c r="P142" s="162">
        <f t="shared" ca="1" si="66"/>
        <v>22.560669456066947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83000</v>
      </c>
      <c r="M144" s="176">
        <f ca="1">IFERROR(__xludf.DUMMYFUNCTION("IMPORTRANGE(""https://docs.google.com/spreadsheets/d/1Yj_ptqi66GCucihVvJfMjLAmec39IyEx_6qawtMGysU/edit?usp=sharing"",""สบก!BJ34"")"),59750)</f>
        <v>59750</v>
      </c>
      <c r="N144" s="177">
        <f ca="1">IFERROR(__xludf.DUMMYFUNCTION("IMPORTRANGE(""https://docs.google.com/spreadsheets/d/1Yj_ptqi66GCucihVvJfMjLAmec39IyEx_6qawtMGysU/edit?usp=sharing"",""สบก!BK34"")"),13480)</f>
        <v>13480</v>
      </c>
      <c r="O144" s="178">
        <f ca="1">IF(L144&gt;0,N144*100/L144,0)</f>
        <v>16.240963855421686</v>
      </c>
      <c r="P144" s="178">
        <f ca="1">IF(M144&gt;0,N144*100/M144,0)</f>
        <v>22.560669456066947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IFERROR(__xludf.DUMMYFUNCTION("IMPORTRANGE(""https://docs.google.com/spreadsheets/d/1Yj_ptqi66GCucihVvJfMjLAmec39IyEx_6qawtMGysU/edit?usp=sharing"",""สบก!BF34"")"),0)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IFERROR(__xludf.DUMMYFUNCTION("IMPORTRANGE(""https://docs.google.com/spreadsheets/d/1Yj_ptqi66GCucihVvJfMjLAmec39IyEx_6qawtMGysU/edit?usp=sharing"",""สบก!BG34"")"),83000)</f>
        <v>83000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IFERROR(__xludf.DUMMYFUNCTION("IMPORTRANGE(""https://docs.google.com/spreadsheets/d/1Yj_ptqi66GCucihVvJfMjLAmec39IyEx_6qawtMGysU/edit?usp=sharing"",""สบก!BH34"")"),0)</f>
        <v>0</v>
      </c>
      <c r="M148" s="103"/>
      <c r="N148" s="93">
        <f ca="1">IFERROR(__xludf.DUMMYFUNCTION("IMPORTRANGE(""https://docs.google.com/spreadsheets/d/1Yj_ptqi66GCucihVvJfMjLAmec39IyEx_6qawtMGysU/edit?usp=sharing"",""สบก!BL34"")"),0)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IFERROR(__xludf.DUMMYFUNCTION("IMPORTRANGE(""https://docs.google.com/spreadsheets/d/11923uPwbBZFjjGgGUA6NLw09EwE0CqkOc4q9oUmW1yo/edit?usp=sharing"",""สุโขทัย!I74"")"),4)</f>
        <v>4</v>
      </c>
      <c r="J149" s="284">
        <f ca="1">IFERROR(__xludf.DUMMYFUNCTION("IMPORTRANGE(""https://docs.google.com/spreadsheets/d/11923uPwbBZFjjGgGUA6NLw09EwE0CqkOc4q9oUmW1yo/edit?usp=sharing"",""สุโขทัย!J74"")"),1)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IFERROR(__xludf.DUMMYFUNCTION("IMPORTRANGE(""https://docs.google.com/spreadsheets/d/11923uPwbBZFjjGgGUA6NLw09EwE0CqkOc4q9oUmW1yo/edit?usp=sharing"",""สุโขทัย!J79"")"),0)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IFERROR(__xludf.DUMMYFUNCTION("IMPORTRANGE(""https://docs.google.com/spreadsheets/d/11923uPwbBZFjjGgGUA6NLw09EwE0CqkOc4q9oUmW1yo/edit?usp=sharing"",""สุโขทัย!J80"")"),1)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IFERROR(__xludf.DUMMYFUNCTION("IMPORTRANGE(""https://docs.google.com/spreadsheets/d/11923uPwbBZFjjGgGUA6NLw09EwE0CqkOc4q9oUmW1yo/edit?usp=sharing"",""สุโขทัย!J81"")"),1)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IFERROR(__xludf.DUMMYFUNCTION("IMPORTRANGE(""https://docs.google.com/spreadsheets/d/11923uPwbBZFjjGgGUA6NLw09EwE0CqkOc4q9oUmW1yo/edit?usp=sharing"",""สุโขทัย!J82"")"),0)</f>
        <v>0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IFERROR(__xludf.DUMMYFUNCTION("IMPORTRANGE(""https://docs.google.com/spreadsheets/d/11923uPwbBZFjjGgGUA6NLw09EwE0CqkOc4q9oUmW1yo/edit?usp=sharing"",""สุโขทัย!I83"")"),4)</f>
        <v>4</v>
      </c>
      <c r="J158" s="198">
        <f ca="1">IFERROR(__xludf.DUMMYFUNCTION("IMPORTRANGE(""https://docs.google.com/spreadsheets/d/11923uPwbBZFjjGgGUA6NLw09EwE0CqkOc4q9oUmW1yo/edit?usp=sharing"",""สุโขทัย!J83"")"),1)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IFERROR(__xludf.DUMMYFUNCTION("IMPORTRANGE(""https://docs.google.com/spreadsheets/d/11923uPwbBZFjjGgGUA6NLw09EwE0CqkOc4q9oUmW1yo/edit?usp=sharing"",""สุโขทัย!J84"")"),81)</f>
        <v>81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IFERROR(__xludf.DUMMYFUNCTION("IMPORTRANGE(""https://docs.google.com/spreadsheets/d/11923uPwbBZFjjGgGUA6NLw09EwE0CqkOc4q9oUmW1yo/edit?usp=sharing"",""สุโขทัย!J85"")"),81)</f>
        <v>81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IFERROR(__xludf.DUMMYFUNCTION("IMPORTRANGE(""https://docs.google.com/spreadsheets/d/11923uPwbBZFjjGgGUA6NLw09EwE0CqkOc4q9oUmW1yo/edit?usp=sharing"",""สุโขทัย!J86"")"),0)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IFERROR(__xludf.DUMMYFUNCTION("IMPORTRANGE(""https://docs.google.com/spreadsheets/d/11923uPwbBZFjjGgGUA6NLw09EwE0CqkOc4q9oUmW1yo/edit?usp=sharing"",""สุโขทัย!J87"")"),0)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IFERROR(__xludf.DUMMYFUNCTION("IMPORTRANGE(""https://docs.google.com/spreadsheets/d/11923uPwbBZFjjGgGUA6NLw09EwE0CqkOc4q9oUmW1yo/edit?usp=sharing"",""สุโขทัย!J88"")"),0)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IFERROR(__xludf.DUMMYFUNCTION("IMPORTRANGE(""https://docs.google.com/spreadsheets/d/11923uPwbBZFjjGgGUA6NLw09EwE0CqkOc4q9oUmW1yo/edit?usp=sharing"",""สุโขทัย!I89"")"),4)</f>
        <v>4</v>
      </c>
      <c r="J164" s="292">
        <f ca="1">IFERROR(__xludf.DUMMYFUNCTION("IMPORTRANGE(""https://docs.google.com/spreadsheets/d/11923uPwbBZFjjGgGUA6NLw09EwE0CqkOc4q9oUmW1yo/edit?usp=sharing"",""สุโขทัย!J89"")"),0)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IFERROR(__xludf.DUMMYFUNCTION("IMPORTRANGE(""https://docs.google.com/spreadsheets/d/11923uPwbBZFjjGgGUA6NLw09EwE0CqkOc4q9oUmW1yo/edit?usp=sharing"",""สุโขทัย!J94"")"),0)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IFERROR(__xludf.DUMMYFUNCTION("IMPORTRANGE(""https://docs.google.com/spreadsheets/d/11923uPwbBZFjjGgGUA6NLw09EwE0CqkOc4q9oUmW1yo/edit?usp=sharing"",""สุโขทัย!J95"")"),1)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IFERROR(__xludf.DUMMYFUNCTION("IMPORTRANGE(""https://docs.google.com/spreadsheets/d/11923uPwbBZFjjGgGUA6NLw09EwE0CqkOc4q9oUmW1yo/edit?usp=sharing"",""สุโขทัย!J96"")"),1)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IFERROR(__xludf.DUMMYFUNCTION("IMPORTRANGE(""https://docs.google.com/spreadsheets/d/11923uPwbBZFjjGgGUA6NLw09EwE0CqkOc4q9oUmW1yo/edit?usp=sharing"",""สุโขทัย!J97"")"),1)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IFERROR(__xludf.DUMMYFUNCTION("IMPORTRANGE(""https://docs.google.com/spreadsheets/d/11923uPwbBZFjjGgGUA6NLw09EwE0CqkOc4q9oUmW1yo/edit?usp=sharing"",""สุโขทัย!I98"")"),4)</f>
        <v>4</v>
      </c>
      <c r="J173" s="198">
        <f ca="1">IFERROR(__xludf.DUMMYFUNCTION("IMPORTRANGE(""https://docs.google.com/spreadsheets/d/11923uPwbBZFjjGgGUA6NLw09EwE0CqkOc4q9oUmW1yo/edit?usp=sharing"",""สุโขทัย!J98"")"),0)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IFERROR(__xludf.DUMMYFUNCTION("IMPORTRANGE(""https://docs.google.com/spreadsheets/d/11923uPwbBZFjjGgGUA6NLw09EwE0CqkOc4q9oUmW1yo/edit?usp=sharing"",""สุโขทัย!J99"")"),0)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IFERROR(__xludf.DUMMYFUNCTION("IMPORTRANGE(""https://docs.google.com/spreadsheets/d/11923uPwbBZFjjGgGUA6NLw09EwE0CqkOc4q9oUmW1yo/edit?usp=sharing"",""สุโขทัย!J100"")"),0)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IFERROR(__xludf.DUMMYFUNCTION("IMPORTRANGE(""https://docs.google.com/spreadsheets/d/11923uPwbBZFjjGgGUA6NLw09EwE0CqkOc4q9oUmW1yo/edit?usp=sharing"",""สุโขทัย!I101"")"),0)</f>
        <v>0</v>
      </c>
      <c r="J176" s="292">
        <f ca="1">IFERROR(__xludf.DUMMYFUNCTION("IMPORTRANGE(""https://docs.google.com/spreadsheets/d/11923uPwbBZFjjGgGUA6NLw09EwE0CqkOc4q9oUmW1yo/edit?usp=sharing"",""สุโขทัย!J101"")"),0)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IFERROR(__xludf.DUMMYFUNCTION("IMPORTRANGE(""https://docs.google.com/spreadsheets/d/11923uPwbBZFjjGgGUA6NLw09EwE0CqkOc4q9oUmW1yo/edit?usp=sharing"",""สุโขทัย!J106"")"),0)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IFERROR(__xludf.DUMMYFUNCTION("IMPORTRANGE(""https://docs.google.com/spreadsheets/d/11923uPwbBZFjjGgGUA6NLw09EwE0CqkOc4q9oUmW1yo/edit?usp=sharing"",""สุโขทัย!J107"")"),0)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IFERROR(__xludf.DUMMYFUNCTION("IMPORTRANGE(""https://docs.google.com/spreadsheets/d/11923uPwbBZFjjGgGUA6NLw09EwE0CqkOc4q9oUmW1yo/edit?usp=sharing"",""สุโขทัย!J108"")"),0)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IFERROR(__xludf.DUMMYFUNCTION("IMPORTRANGE(""https://docs.google.com/spreadsheets/d/11923uPwbBZFjjGgGUA6NLw09EwE0CqkOc4q9oUmW1yo/edit?usp=sharing"",""สุโขทัย!J109"")"),0)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IFERROR(__xludf.DUMMYFUNCTION("IMPORTRANGE(""https://docs.google.com/spreadsheets/d/11923uPwbBZFjjGgGUA6NLw09EwE0CqkOc4q9oUmW1yo/edit?usp=sharing"",""สุโขทัย!I110"")"),0)</f>
        <v>0</v>
      </c>
      <c r="J185" s="213">
        <f ca="1">IFERROR(__xludf.DUMMYFUNCTION("IMPORTRANGE(""https://docs.google.com/spreadsheets/d/11923uPwbBZFjjGgGUA6NLw09EwE0CqkOc4q9oUmW1yo/edit?usp=sharing"",""สุโขทัย!J110"")"),0)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IFERROR(__xludf.DUMMYFUNCTION("IMPORTRANGE(""https://docs.google.com/spreadsheets/d/11923uPwbBZFjjGgGUA6NLw09EwE0CqkOc4q9oUmW1yo/edit?usp=sharing"",""สุโขทัย!I111"")"),0)</f>
        <v>0</v>
      </c>
      <c r="J186" s="213">
        <f ca="1">IFERROR(__xludf.DUMMYFUNCTION("IMPORTRANGE(""https://docs.google.com/spreadsheets/d/11923uPwbBZFjjGgGUA6NLw09EwE0CqkOc4q9oUmW1yo/edit?usp=sharing"",""สุโขทัย!J111"")"),0)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IFERROR(__xludf.DUMMYFUNCTION("IMPORTRANGE(""https://docs.google.com/spreadsheets/d/11923uPwbBZFjjGgGUA6NLw09EwE0CqkOc4q9oUmW1yo/edit?usp=sharing"",""สุโขทัย!J112"")"),0)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IFERROR(__xludf.DUMMYFUNCTION("IMPORTRANGE(""https://docs.google.com/spreadsheets/d/11923uPwbBZFjjGgGUA6NLw09EwE0CqkOc4q9oUmW1yo/edit?usp=sharing"",""สุโขทัย!J113"")"),0)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IFERROR(__xludf.DUMMYFUNCTION("IMPORTRANGE(""https://docs.google.com/spreadsheets/d/11923uPwbBZFjjGgGUA6NLw09EwE0CqkOc4q9oUmW1yo/edit?usp=sharing"",""สุโขทัย!I114"")"),50000)</f>
        <v>50000</v>
      </c>
      <c r="J189" s="292">
        <f ca="1">IFERROR(__xludf.DUMMYFUNCTION("IMPORTRANGE(""https://docs.google.com/spreadsheets/d/11923uPwbBZFjjGgGUA6NLw09EwE0CqkOc4q9oUmW1yo/edit?usp=sharing"",""สุโขทัย!J114"")"),0)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IFERROR(__xludf.DUMMYFUNCTION("IMPORTRANGE(""https://docs.google.com/spreadsheets/d/11923uPwbBZFjjGgGUA6NLw09EwE0CqkOc4q9oUmW1yo/edit?usp=sharing"",""สุโขทัย!J119"")"),0)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IFERROR(__xludf.DUMMYFUNCTION("IMPORTRANGE(""https://docs.google.com/spreadsheets/d/11923uPwbBZFjjGgGUA6NLw09EwE0CqkOc4q9oUmW1yo/edit?usp=sharing"",""สุโขทัย!J120"")"),1)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IFERROR(__xludf.DUMMYFUNCTION("IMPORTRANGE(""https://docs.google.com/spreadsheets/d/11923uPwbBZFjjGgGUA6NLw09EwE0CqkOc4q9oUmW1yo/edit?usp=sharing"",""สุโขทัย!J121"")"),1)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IFERROR(__xludf.DUMMYFUNCTION("IMPORTRANGE(""https://docs.google.com/spreadsheets/d/11923uPwbBZFjjGgGUA6NLw09EwE0CqkOc4q9oUmW1yo/edit?usp=sharing"",""สุโขทัย!J122"")"),0)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IFERROR(__xludf.DUMMYFUNCTION("IMPORTRANGE(""https://docs.google.com/spreadsheets/d/11923uPwbBZFjjGgGUA6NLw09EwE0CqkOc4q9oUmW1yo/edit?usp=sharing"",""สุโขทัย!I124"")"),50000)</f>
        <v>50000</v>
      </c>
      <c r="J199" s="198">
        <f ca="1">IFERROR(__xludf.DUMMYFUNCTION("IMPORTRANGE(""https://docs.google.com/spreadsheets/d/11923uPwbBZFjjGgGUA6NLw09EwE0CqkOc4q9oUmW1yo/edit?usp=sharing"",""สุโขทัย!J124"")"),0)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IFERROR(__xludf.DUMMYFUNCTION("IMPORTRANGE(""https://docs.google.com/spreadsheets/d/11923uPwbBZFjjGgGUA6NLw09EwE0CqkOc4q9oUmW1yo/edit?usp=sharing"",""สุโขทัย!I125"")"),50000)</f>
        <v>50000</v>
      </c>
      <c r="J200" s="198">
        <f ca="1">IFERROR(__xludf.DUMMYFUNCTION("IMPORTRANGE(""https://docs.google.com/spreadsheets/d/11923uPwbBZFjjGgGUA6NLw09EwE0CqkOc4q9oUmW1yo/edit?usp=sharing"",""สุโขทัย!J125"")"),0)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IFERROR(__xludf.DUMMYFUNCTION("IMPORTRANGE(""https://docs.google.com/spreadsheets/d/11923uPwbBZFjjGgGUA6NLw09EwE0CqkOc4q9oUmW1yo/edit?usp=sharing"",""สุโขทัย!I126"")"),0)</f>
        <v>0</v>
      </c>
      <c r="J201" s="198">
        <f ca="1">IFERROR(__xludf.DUMMYFUNCTION("IMPORTRANGE(""https://docs.google.com/spreadsheets/d/11923uPwbBZFjjGgGUA6NLw09EwE0CqkOc4q9oUmW1yo/edit?usp=sharing"",""สุโขทัย!J126"")"),0)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IFERROR(__xludf.DUMMYFUNCTION("IMPORTRANGE(""https://docs.google.com/spreadsheets/d/11923uPwbBZFjjGgGUA6NLw09EwE0CqkOc4q9oUmW1yo/edit?usp=sharing"",""สุโขทัย!J127"")"),0)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IFERROR(__xludf.DUMMYFUNCTION("IMPORTRANGE(""https://docs.google.com/spreadsheets/d/11923uPwbBZFjjGgGUA6NLw09EwE0CqkOc4q9oUmW1yo/edit?usp=sharing"",""สุโขทัย!J128"")"),0)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IFERROR(__xludf.DUMMYFUNCTION("IMPORTRANGE(""https://docs.google.com/spreadsheets/d/11923uPwbBZFjjGgGUA6NLw09EwE0CqkOc4q9oUmW1yo/edit?usp=sharing"",""สุโขทัย!I129"")"),0)</f>
        <v>0</v>
      </c>
      <c r="J204" s="292">
        <f ca="1">IFERROR(__xludf.DUMMYFUNCTION("IMPORTRANGE(""https://docs.google.com/spreadsheets/d/11923uPwbBZFjjGgGUA6NLw09EwE0CqkOc4q9oUmW1yo/edit?usp=sharing"",""สุโขทัย!J129"")"),0)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IFERROR(__xludf.DUMMYFUNCTION("IMPORTRANGE(""https://docs.google.com/spreadsheets/d/11923uPwbBZFjjGgGUA6NLw09EwE0CqkOc4q9oUmW1yo/edit?usp=sharing"",""สุโขทัย!J134"")"),0)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IFERROR(__xludf.DUMMYFUNCTION("IMPORTRANGE(""https://docs.google.com/spreadsheets/d/11923uPwbBZFjjGgGUA6NLw09EwE0CqkOc4q9oUmW1yo/edit?usp=sharing"",""สุโขทัย!J135"")"),0)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IFERROR(__xludf.DUMMYFUNCTION("IMPORTRANGE(""https://docs.google.com/spreadsheets/d/11923uPwbBZFjjGgGUA6NLw09EwE0CqkOc4q9oUmW1yo/edit?usp=sharing"",""สุโขทัย!J136"")"),0)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IFERROR(__xludf.DUMMYFUNCTION("IMPORTRANGE(""https://docs.google.com/spreadsheets/d/11923uPwbBZFjjGgGUA6NLw09EwE0CqkOc4q9oUmW1yo/edit?usp=sharing"",""สุโขทัย!J137"")"),0)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IFERROR(__xludf.DUMMYFUNCTION("IMPORTRANGE(""https://docs.google.com/spreadsheets/d/11923uPwbBZFjjGgGUA6NLw09EwE0CqkOc4q9oUmW1yo/edit?usp=sharing"",""สุโขทัย!I138"")"),0)</f>
        <v>0</v>
      </c>
      <c r="J213" s="213">
        <f ca="1">IFERROR(__xludf.DUMMYFUNCTION("IMPORTRANGE(""https://docs.google.com/spreadsheets/d/11923uPwbBZFjjGgGUA6NLw09EwE0CqkOc4q9oUmW1yo/edit?usp=sharing"",""สุโขทัย!J138"")"),0)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IFERROR(__xludf.DUMMYFUNCTION("IMPORTRANGE(""https://docs.google.com/spreadsheets/d/11923uPwbBZFjjGgGUA6NLw09EwE0CqkOc4q9oUmW1yo/edit?usp=sharing"",""สุโขทัย!I140"")"),0)</f>
        <v>0</v>
      </c>
      <c r="J215" s="213">
        <f ca="1">IFERROR(__xludf.DUMMYFUNCTION("IMPORTRANGE(""https://docs.google.com/spreadsheets/d/11923uPwbBZFjjGgGUA6NLw09EwE0CqkOc4q9oUmW1yo/edit?usp=sharing"",""สุโขทัย!J140"")"),0)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IFERROR(__xludf.DUMMYFUNCTION("IMPORTRANGE(""https://docs.google.com/spreadsheets/d/11923uPwbBZFjjGgGUA6NLw09EwE0CqkOc4q9oUmW1yo/edit?usp=sharing"",""สุโขทัย!I141"")"),0)</f>
        <v>0</v>
      </c>
      <c r="J216" s="213">
        <f ca="1">IFERROR(__xludf.DUMMYFUNCTION("IMPORTRANGE(""https://docs.google.com/spreadsheets/d/11923uPwbBZFjjGgGUA6NLw09EwE0CqkOc4q9oUmW1yo/edit?usp=sharing"",""สุโขทัย!J141"")"),0)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IFERROR(__xludf.DUMMYFUNCTION("IMPORTRANGE(""https://docs.google.com/spreadsheets/d/11923uPwbBZFjjGgGUA6NLw09EwE0CqkOc4q9oUmW1yo/edit?usp=sharing"",""สุโขทัย!J142"")"),0)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IFERROR(__xludf.DUMMYFUNCTION("IMPORTRANGE(""https://docs.google.com/spreadsheets/d/11923uPwbBZFjjGgGUA6NLw09EwE0CqkOc4q9oUmW1yo/edit?usp=sharing"",""สุโขทัย!J143"")"),0)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IFERROR(__xludf.DUMMYFUNCTION("IMPORTRANGE(""https://docs.google.com/spreadsheets/d/11923uPwbBZFjjGgGUA6NLw09EwE0CqkOc4q9oUmW1yo/edit?usp=sharing"",""สุโขทัย!I144"")"),13)</f>
        <v>13</v>
      </c>
      <c r="J219" s="276">
        <f ca="1">IFERROR(__xludf.DUMMYFUNCTION("IMPORTRANGE(""https://docs.google.com/spreadsheets/d/11923uPwbBZFjjGgGUA6NLw09EwE0CqkOc4q9oUmW1yo/edit?usp=sharing"",""สุโขทัย!J144"")"),13)</f>
        <v>13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19295</v>
      </c>
      <c r="M220" s="158">
        <f t="shared" ca="1" si="72"/>
        <v>19295</v>
      </c>
      <c r="N220" s="158">
        <f t="shared" ca="1" si="72"/>
        <v>17775</v>
      </c>
      <c r="O220" s="157">
        <f t="shared" ref="O220:O222" ca="1" si="73">IF(L220&gt;0,N220*100/L220,0)</f>
        <v>92.122311479657938</v>
      </c>
      <c r="P220" s="157">
        <f t="shared" ref="P220:P222" ca="1" si="74">IF(M220&gt;0,N220*100/M220,0)</f>
        <v>92.122311479657938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19295</v>
      </c>
      <c r="M222" s="163">
        <f t="shared" ca="1" si="76"/>
        <v>19295</v>
      </c>
      <c r="N222" s="163">
        <f t="shared" ca="1" si="76"/>
        <v>17775</v>
      </c>
      <c r="O222" s="162">
        <f t="shared" ca="1" si="73"/>
        <v>92.122311479657938</v>
      </c>
      <c r="P222" s="162">
        <f t="shared" ca="1" si="74"/>
        <v>92.122311479657938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19295</v>
      </c>
      <c r="M224" s="176">
        <f ca="1">IFERROR(__xludf.DUMMYFUNCTION("IMPORTRANGE(""https://docs.google.com/spreadsheets/d/1Yj_ptqi66GCucihVvJfMjLAmec39IyEx_6qawtMGysU/edit?usp=sharing"",""สบก!BS34"")"),19295)</f>
        <v>19295</v>
      </c>
      <c r="N224" s="177">
        <f ca="1">IFERROR(__xludf.DUMMYFUNCTION("IMPORTRANGE(""https://docs.google.com/spreadsheets/d/1Yj_ptqi66GCucihVvJfMjLAmec39IyEx_6qawtMGysU/edit?usp=sharing"",""สบก!BT34"")"),17775)</f>
        <v>17775</v>
      </c>
      <c r="O224" s="178">
        <f ca="1">IF(L224&gt;0,N224*100/L224,0)</f>
        <v>92.122311479657938</v>
      </c>
      <c r="P224" s="178">
        <f ca="1">IF(M224&gt;0,N224*100/M224,0)</f>
        <v>92.122311479657938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IFERROR(__xludf.DUMMYFUNCTION("IMPORTRANGE(""https://docs.google.com/spreadsheets/d/1Yj_ptqi66GCucihVvJfMjLAmec39IyEx_6qawtMGysU/edit?usp=sharing"",""สบก!BO34"")"),0)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IFERROR(__xludf.DUMMYFUNCTION("IMPORTRANGE(""https://docs.google.com/spreadsheets/d/1Yj_ptqi66GCucihVvJfMjLAmec39IyEx_6qawtMGysU/edit?usp=sharing"",""สบก!BP34"")"),19295)</f>
        <v>19295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IFERROR(__xludf.DUMMYFUNCTION("IMPORTRANGE(""https://docs.google.com/spreadsheets/d/1Yj_ptqi66GCucihVvJfMjLAmec39IyEx_6qawtMGysU/edit?usp=sharing"",""สบก!BQ34"")"),0)</f>
        <v>0</v>
      </c>
      <c r="M228" s="103"/>
      <c r="N228" s="93">
        <f ca="1">IFERROR(__xludf.DUMMYFUNCTION("IMPORTRANGE(""https://docs.google.com/spreadsheets/d/1Yj_ptqi66GCucihVvJfMjLAmec39IyEx_6qawtMGysU/edit?usp=sharing"",""สบก!BU34"")"),0)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IFERROR(__xludf.DUMMYFUNCTION("IMPORTRANGE(""https://docs.google.com/spreadsheets/d/11923uPwbBZFjjGgGUA6NLw09EwE0CqkOc4q9oUmW1yo/edit?usp=sharing"",""สุโขทัย!I149"")"),13)</f>
        <v>13</v>
      </c>
      <c r="J229" s="276">
        <f ca="1">IFERROR(__xludf.DUMMYFUNCTION("IMPORTRANGE(""https://docs.google.com/spreadsheets/d/11923uPwbBZFjjGgGUA6NLw09EwE0CqkOc4q9oUmW1yo/edit?usp=sharing"",""สุโขทัย!J149"")"),13)</f>
        <v>13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IFERROR(__xludf.DUMMYFUNCTION("IMPORTRANGE(""https://docs.google.com/spreadsheets/d/11923uPwbBZFjjGgGUA6NLw09EwE0CqkOc4q9oUmW1yo/edit?usp=sharing"",""สุโขทัย!J151"")"),0)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IFERROR(__xludf.DUMMYFUNCTION("IMPORTRANGE(""https://docs.google.com/spreadsheets/d/11923uPwbBZFjjGgGUA6NLw09EwE0CqkOc4q9oUmW1yo/edit?usp=sharing"",""สุโขทัย!J152"")"),1)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IFERROR(__xludf.DUMMYFUNCTION("IMPORTRANGE(""https://docs.google.com/spreadsheets/d/11923uPwbBZFjjGgGUA6NLw09EwE0CqkOc4q9oUmW1yo/edit?usp=sharing"",""สุโขทัย!J153"")"),1)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IFERROR(__xludf.DUMMYFUNCTION("IMPORTRANGE(""https://docs.google.com/spreadsheets/d/11923uPwbBZFjjGgGUA6NLw09EwE0CqkOc4q9oUmW1yo/edit?usp=sharing"",""สุโขทัย!J154"")"),1)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IFERROR(__xludf.DUMMYFUNCTION("IMPORTRANGE(""https://docs.google.com/spreadsheets/d/11923uPwbBZFjjGgGUA6NLw09EwE0CqkOc4q9oUmW1yo/edit?usp=sharing"",""สุโขทัย!I155"")"),13)</f>
        <v>13</v>
      </c>
      <c r="J235" s="198">
        <f ca="1">IFERROR(__xludf.DUMMYFUNCTION("IMPORTRANGE(""https://docs.google.com/spreadsheets/d/11923uPwbBZFjjGgGUA6NLw09EwE0CqkOc4q9oUmW1yo/edit?usp=sharing"",""สุโขทัย!J155"")"),13)</f>
        <v>13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IFERROR(__xludf.DUMMYFUNCTION("IMPORTRANGE(""https://docs.google.com/spreadsheets/d/11923uPwbBZFjjGgGUA6NLw09EwE0CqkOc4q9oUmW1yo/edit?usp=sharing"",""สุโขทัย!J156"")"),0)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IFERROR(__xludf.DUMMYFUNCTION("IMPORTRANGE(""https://docs.google.com/spreadsheets/d/11923uPwbBZFjjGgGUA6NLw09EwE0CqkOc4q9oUmW1yo/edit?usp=sharing"",""สุโขทัย!J157"")"),0)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IFERROR(__xludf.DUMMYFUNCTION("IMPORTRANGE(""https://docs.google.com/spreadsheets/d/11923uPwbBZFjjGgGUA6NLw09EwE0CqkOc4q9oUmW1yo/edit?usp=sharing"",""สุโขทัย!I158"")"),0)</f>
        <v>0</v>
      </c>
      <c r="J238" s="276">
        <f ca="1">IFERROR(__xludf.DUMMYFUNCTION("IMPORTRANGE(""https://docs.google.com/spreadsheets/d/11923uPwbBZFjjGgGUA6NLw09EwE0CqkOc4q9oUmW1yo/edit?usp=sharing"",""สุโขทัย!J158"")"),0)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IFERROR(__xludf.DUMMYFUNCTION("IMPORTRANGE(""https://docs.google.com/spreadsheets/d/11923uPwbBZFjjGgGUA6NLw09EwE0CqkOc4q9oUmW1yo/edit?usp=sharing"",""สุโขทัย!J159"")"),"")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IFERROR(__xludf.DUMMYFUNCTION("IMPORTRANGE(""https://docs.google.com/spreadsheets/d/11923uPwbBZFjjGgGUA6NLw09EwE0CqkOc4q9oUmW1yo/edit?usp=sharing"",""สุโขทัย!J161"")"),0)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IFERROR(__xludf.DUMMYFUNCTION("IMPORTRANGE(""https://docs.google.com/spreadsheets/d/11923uPwbBZFjjGgGUA6NLw09EwE0CqkOc4q9oUmW1yo/edit?usp=sharing"",""สุโขทัย!J162"")"),0)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IFERROR(__xludf.DUMMYFUNCTION("IMPORTRANGE(""https://docs.google.com/spreadsheets/d/11923uPwbBZFjjGgGUA6NLw09EwE0CqkOc4q9oUmW1yo/edit?usp=sharing"",""สุโขทัย!J163"")"),0)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IFERROR(__xludf.DUMMYFUNCTION("IMPORTRANGE(""https://docs.google.com/spreadsheets/d/11923uPwbBZFjjGgGUA6NLw09EwE0CqkOc4q9oUmW1yo/edit?usp=sharing"",""สุโขทัย!I164"")"),0)</f>
        <v>0</v>
      </c>
      <c r="J244" s="197">
        <f ca="1">IFERROR(__xludf.DUMMYFUNCTION("IMPORTRANGE(""https://docs.google.com/spreadsheets/d/11923uPwbBZFjjGgGUA6NLw09EwE0CqkOc4q9oUmW1yo/edit?usp=sharing"",""สุโขทัย!J164"")"),0)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IFERROR(__xludf.DUMMYFUNCTION("IMPORTRANGE(""https://docs.google.com/spreadsheets/d/11923uPwbBZFjjGgGUA6NLw09EwE0CqkOc4q9oUmW1yo/edit?usp=sharing"",""สุโขทัย!J165"")"),0)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IFERROR(__xludf.DUMMYFUNCTION("IMPORTRANGE(""https://docs.google.com/spreadsheets/d/11923uPwbBZFjjGgGUA6NLw09EwE0CqkOc4q9oUmW1yo/edit?usp=sharing"",""สุโขทัย!J166"")"),0)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IFERROR(__xludf.DUMMYFUNCTION("IMPORTRANGE(""https://docs.google.com/spreadsheets/d/11923uPwbBZFjjGgGUA6NLw09EwE0CqkOc4q9oUmW1yo/edit?usp=sharing"",""สุโขทัย!I169"")"),0)</f>
        <v>0</v>
      </c>
      <c r="J249" s="324">
        <f ca="1">IFERROR(__xludf.DUMMYFUNCTION("IMPORTRANGE(""https://docs.google.com/spreadsheets/d/11923uPwbBZFjjGgGUA6NLw09EwE0CqkOc4q9oUmW1yo/edit?usp=sharing"",""สุโขทัย!J169"")"),0)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IFERROR(__xludf.DUMMYFUNCTION("IMPORTRANGE(""https://docs.google.com/spreadsheets/d/1Yj_ptqi66GCucihVvJfMjLAmec39IyEx_6qawtMGysU/edit?usp=sharing"",""สบก!CB34"")"),0)</f>
        <v>0</v>
      </c>
      <c r="N254" s="177">
        <f ca="1">IFERROR(__xludf.DUMMYFUNCTION("IMPORTRANGE(""https://docs.google.com/spreadsheets/d/1Yj_ptqi66GCucihVvJfMjLAmec39IyEx_6qawtMGysU/edit?usp=sharing"",""สบก!CC34"")"),0)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IFERROR(__xludf.DUMMYFUNCTION("IMPORTRANGE(""https://docs.google.com/spreadsheets/d/1Yj_ptqi66GCucihVvJfMjLAmec39IyEx_6qawtMGysU/edit?usp=sharing"",""สบก!BX34"")"),0)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IFERROR(__xludf.DUMMYFUNCTION("IMPORTRANGE(""https://docs.google.com/spreadsheets/d/1Yj_ptqi66GCucihVvJfMjLAmec39IyEx_6qawtMGysU/edit?usp=sharing"",""สบก!BY34"")"),0)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IFERROR(__xludf.DUMMYFUNCTION("IMPORTRANGE(""https://docs.google.com/spreadsheets/d/1Yj_ptqi66GCucihVvJfMjLAmec39IyEx_6qawtMGysU/edit?usp=sharing"",""สบก!BZ34"")"),0)</f>
        <v>0</v>
      </c>
      <c r="M258" s="103"/>
      <c r="N258" s="93">
        <f ca="1">IFERROR(__xludf.DUMMYFUNCTION("IMPORTRANGE(""https://docs.google.com/spreadsheets/d/1Yj_ptqi66GCucihVvJfMjLAmec39IyEx_6qawtMGysU/edit?usp=sharing"",""สบก!CD34"")"),0)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IFERROR(__xludf.DUMMYFUNCTION("IMPORTRANGE(""https://docs.google.com/spreadsheets/d/11923uPwbBZFjjGgGUA6NLw09EwE0CqkOc4q9oUmW1yo/edit?usp=sharing"",""สุโขทัย!J175"")"),0)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IFERROR(__xludf.DUMMYFUNCTION("IMPORTRANGE(""https://docs.google.com/spreadsheets/d/11923uPwbBZFjjGgGUA6NLw09EwE0CqkOc4q9oUmW1yo/edit?usp=sharing"",""สุโขทัย!J176"")"),0)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IFERROR(__xludf.DUMMYFUNCTION("IMPORTRANGE(""https://docs.google.com/spreadsheets/d/11923uPwbBZFjjGgGUA6NLw09EwE0CqkOc4q9oUmW1yo/edit?usp=sharing"",""สุโขทัย!J177"")"),0)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IFERROR(__xludf.DUMMYFUNCTION("IMPORTRANGE(""https://docs.google.com/spreadsheets/d/11923uPwbBZFjjGgGUA6NLw09EwE0CqkOc4q9oUmW1yo/edit?usp=sharing"",""สุโขทัย!J178"")"),0)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IFERROR(__xludf.DUMMYFUNCTION("IMPORTRANGE(""https://docs.google.com/spreadsheets/d/11923uPwbBZFjjGgGUA6NLw09EwE0CqkOc4q9oUmW1yo/edit?usp=sharing"",""สุโขทัย!I179"")"),0)</f>
        <v>0</v>
      </c>
      <c r="J264" s="198">
        <f ca="1">IFERROR(__xludf.DUMMYFUNCTION("IMPORTRANGE(""https://docs.google.com/spreadsheets/d/11923uPwbBZFjjGgGUA6NLw09EwE0CqkOc4q9oUmW1yo/edit?usp=sharing"",""สุโขทัย!J179"")"),0)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IFERROR(__xludf.DUMMYFUNCTION("IMPORTRANGE(""https://docs.google.com/spreadsheets/d/11923uPwbBZFjjGgGUA6NLw09EwE0CqkOc4q9oUmW1yo/edit?usp=sharing"",""สุโขทัย!I180"")"),0)</f>
        <v>0</v>
      </c>
      <c r="J265" s="198">
        <f ca="1">IFERROR(__xludf.DUMMYFUNCTION("IMPORTRANGE(""https://docs.google.com/spreadsheets/d/11923uPwbBZFjjGgGUA6NLw09EwE0CqkOc4q9oUmW1yo/edit?usp=sharing"",""สุโขทัย!J180"")"),0)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IFERROR(__xludf.DUMMYFUNCTION("IMPORTRANGE(""https://docs.google.com/spreadsheets/d/11923uPwbBZFjjGgGUA6NLw09EwE0CqkOc4q9oUmW1yo/edit?usp=sharing"",""สุโขทัย!I181"")"),0)</f>
        <v>0</v>
      </c>
      <c r="J266" s="198">
        <f ca="1">IFERROR(__xludf.DUMMYFUNCTION("IMPORTRANGE(""https://docs.google.com/spreadsheets/d/11923uPwbBZFjjGgGUA6NLw09EwE0CqkOc4q9oUmW1yo/edit?usp=sharing"",""สุโขทัย!J181"")"),0)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IFERROR(__xludf.DUMMYFUNCTION("IMPORTRANGE(""https://docs.google.com/spreadsheets/d/11923uPwbBZFjjGgGUA6NLw09EwE0CqkOc4q9oUmW1yo/edit?usp=sharing"",""สุโขทัย!I182"")"),0)</f>
        <v>0</v>
      </c>
      <c r="J267" s="198">
        <f ca="1">IFERROR(__xludf.DUMMYFUNCTION("IMPORTRANGE(""https://docs.google.com/spreadsheets/d/11923uPwbBZFjjGgGUA6NLw09EwE0CqkOc4q9oUmW1yo/edit?usp=sharing"",""สุโขทัย!J182"")"),0)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IFERROR(__xludf.DUMMYFUNCTION("IMPORTRANGE(""https://docs.google.com/spreadsheets/d/11923uPwbBZFjjGgGUA6NLw09EwE0CqkOc4q9oUmW1yo/edit?usp=sharing"",""สุโขทัย!J183"")"),0)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IFERROR(__xludf.DUMMYFUNCTION("IMPORTRANGE(""https://docs.google.com/spreadsheets/d/11923uPwbBZFjjGgGUA6NLw09EwE0CqkOc4q9oUmW1yo/edit?usp=sharing"",""สุโขทัย!J184"")"),0)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IFERROR(__xludf.DUMMYFUNCTION("IMPORTRANGE(""https://docs.google.com/spreadsheets/d/11923uPwbBZFjjGgGUA6NLw09EwE0CqkOc4q9oUmW1yo/edit?usp=sharing"",""สุโขทัย!I185"")"),15)</f>
        <v>15</v>
      </c>
      <c r="J270" s="324">
        <f ca="1">IFERROR(__xludf.DUMMYFUNCTION("IMPORTRANGE(""https://docs.google.com/spreadsheets/d/11923uPwbBZFjjGgGUA6NLw09EwE0CqkOc4q9oUmW1yo/edit?usp=sharing"",""สุโขทัย!J185"")"),15)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237700</v>
      </c>
      <c r="M271" s="158">
        <f t="shared" ca="1" si="83"/>
        <v>146000</v>
      </c>
      <c r="N271" s="158">
        <f t="shared" ca="1" si="83"/>
        <v>101180</v>
      </c>
      <c r="O271" s="157">
        <f t="shared" ref="O271:O273" ca="1" si="84">IF(L271&gt;0,N271*100/L271,0)</f>
        <v>42.56625999158603</v>
      </c>
      <c r="P271" s="157">
        <f t="shared" ref="P271:P273" ca="1" si="85">IF(M271&gt;0,N271*100/M271,0)</f>
        <v>69.301369863013704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237700</v>
      </c>
      <c r="M273" s="163">
        <f t="shared" ca="1" si="87"/>
        <v>146000</v>
      </c>
      <c r="N273" s="163">
        <f t="shared" ca="1" si="87"/>
        <v>101180</v>
      </c>
      <c r="O273" s="162">
        <f t="shared" ca="1" si="84"/>
        <v>42.56625999158603</v>
      </c>
      <c r="P273" s="162">
        <f t="shared" ca="1" si="85"/>
        <v>69.301369863013704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237700</v>
      </c>
      <c r="M275" s="176">
        <f ca="1">IFERROR(__xludf.DUMMYFUNCTION("IMPORTRANGE(""https://docs.google.com/spreadsheets/d/1Yj_ptqi66GCucihVvJfMjLAmec39IyEx_6qawtMGysU/edit?usp=sharing"",""สบก!CK34"")"),146000)</f>
        <v>146000</v>
      </c>
      <c r="N275" s="177">
        <f ca="1">IFERROR(__xludf.DUMMYFUNCTION("IMPORTRANGE(""https://docs.google.com/spreadsheets/d/1Yj_ptqi66GCucihVvJfMjLAmec39IyEx_6qawtMGysU/edit?usp=sharing"",""สบก!CL34"")"),101180)</f>
        <v>101180</v>
      </c>
      <c r="O275" s="178">
        <f ca="1">IF(L275&gt;0,N275*100/L275,0)</f>
        <v>42.56625999158603</v>
      </c>
      <c r="P275" s="178">
        <f ca="1">IF(M275&gt;0,N275*100/M275,0)</f>
        <v>69.301369863013704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IFERROR(__xludf.DUMMYFUNCTION("IMPORTRANGE(""https://docs.google.com/spreadsheets/d/1Yj_ptqi66GCucihVvJfMjLAmec39IyEx_6qawtMGysU/edit?usp=sharing"",""สบก!CG34"")"),132000)</f>
        <v>132000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IFERROR(__xludf.DUMMYFUNCTION("IMPORTRANGE(""https://docs.google.com/spreadsheets/d/1Yj_ptqi66GCucihVvJfMjLAmec39IyEx_6qawtMGysU/edit?usp=sharing"",""สบก!CH34"")"),105700)</f>
        <v>105700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IFERROR(__xludf.DUMMYFUNCTION("IMPORTRANGE(""https://docs.google.com/spreadsheets/d/1Yj_ptqi66GCucihVvJfMjLAmec39IyEx_6qawtMGysU/edit?usp=sharing"",""สบก!CI34"")"),0)</f>
        <v>0</v>
      </c>
      <c r="M279" s="103"/>
      <c r="N279" s="93">
        <f ca="1">IFERROR(__xludf.DUMMYFUNCTION("IMPORTRANGE(""https://docs.google.com/spreadsheets/d/1Yj_ptqi66GCucihVvJfMjLAmec39IyEx_6qawtMGysU/edit?usp=sharing"",""สบก!CM34"")"),0)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IFERROR(__xludf.DUMMYFUNCTION("IMPORTRANGE(""https://docs.google.com/spreadsheets/d/11923uPwbBZFjjGgGUA6NLw09EwE0CqkOc4q9oUmW1yo/edit?usp=sharing"",""สุโขทัย!J191"")"),0)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IFERROR(__xludf.DUMMYFUNCTION("IMPORTRANGE(""https://docs.google.com/spreadsheets/d/11923uPwbBZFjjGgGUA6NLw09EwE0CqkOc4q9oUmW1yo/edit?usp=sharing"",""สุโขทัย!J192"")"),1)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IFERROR(__xludf.DUMMYFUNCTION("IMPORTRANGE(""https://docs.google.com/spreadsheets/d/11923uPwbBZFjjGgGUA6NLw09EwE0CqkOc4q9oUmW1yo/edit?usp=sharing"",""สุโขทัย!J193"")"),1)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IFERROR(__xludf.DUMMYFUNCTION("IMPORTRANGE(""https://docs.google.com/spreadsheets/d/11923uPwbBZFjjGgGUA6NLw09EwE0CqkOc4q9oUmW1yo/edit?usp=sharing"",""สุโขทัย!J194"")"),1)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IFERROR(__xludf.DUMMYFUNCTION("IMPORTRANGE(""https://docs.google.com/spreadsheets/d/11923uPwbBZFjjGgGUA6NLw09EwE0CqkOc4q9oUmW1yo/edit?usp=sharing"",""สุโขทัย!I195"")"),15)</f>
        <v>15</v>
      </c>
      <c r="J285" s="198">
        <f ca="1">IFERROR(__xludf.DUMMYFUNCTION("IMPORTRANGE(""https://docs.google.com/spreadsheets/d/11923uPwbBZFjjGgGUA6NLw09EwE0CqkOc4q9oUmW1yo/edit?usp=sharing"",""สุโขทัย!J195"")"),15)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IFERROR(__xludf.DUMMYFUNCTION("IMPORTRANGE(""https://docs.google.com/spreadsheets/d/11923uPwbBZFjjGgGUA6NLw09EwE0CqkOc4q9oUmW1yo/edit?usp=sharing"",""สุโขทัย!J196"")"),0)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IFERROR(__xludf.DUMMYFUNCTION("IMPORTRANGE(""https://docs.google.com/spreadsheets/d/11923uPwbBZFjjGgGUA6NLw09EwE0CqkOc4q9oUmW1yo/edit?usp=sharing"",""สุโขทัย!J197"")"),0)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IFERROR(__xludf.DUMMYFUNCTION("IMPORTRANGE(""https://docs.google.com/spreadsheets/d/11923uPwbBZFjjGgGUA6NLw09EwE0CqkOc4q9oUmW1yo/edit?usp=sharing"",""สุโขทัย!I199"")"),0)</f>
        <v>0</v>
      </c>
      <c r="J289" s="324">
        <f ca="1">IFERROR(__xludf.DUMMYFUNCTION("IMPORTRANGE(""https://docs.google.com/spreadsheets/d/11923uPwbBZFjjGgGUA6NLw09EwE0CqkOc4q9oUmW1yo/edit?usp=sharing"",""สุโขทัย!J199"")"),0)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IFERROR(__xludf.DUMMYFUNCTION("IMPORTRANGE(""https://docs.google.com/spreadsheets/d/1Yj_ptqi66GCucihVvJfMjLAmec39IyEx_6qawtMGysU/edit?usp=sharing"",""สบก!CT34"")"),0)</f>
        <v>0</v>
      </c>
      <c r="N294" s="177">
        <f ca="1">IFERROR(__xludf.DUMMYFUNCTION("IMPORTRANGE(""https://docs.google.com/spreadsheets/d/1Yj_ptqi66GCucihVvJfMjLAmec39IyEx_6qawtMGysU/edit?usp=sharing"",""สบก!CU34"")"),0)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IFERROR(__xludf.DUMMYFUNCTION("IMPORTRANGE(""https://docs.google.com/spreadsheets/d/1Yj_ptqi66GCucihVvJfMjLAmec39IyEx_6qawtMGysU/edit?usp=sharing"",""สบก!CP34"")"),0)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IFERROR(__xludf.DUMMYFUNCTION("IMPORTRANGE(""https://docs.google.com/spreadsheets/d/1Yj_ptqi66GCucihVvJfMjLAmec39IyEx_6qawtMGysU/edit?usp=sharing"",""สบก!CQ34"")"),0)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IFERROR(__xludf.DUMMYFUNCTION("IMPORTRANGE(""https://docs.google.com/spreadsheets/d/1Yj_ptqi66GCucihVvJfMjLAmec39IyEx_6qawtMGysU/edit?usp=sharing"",""สบก!CR34"")"),0)</f>
        <v>0</v>
      </c>
      <c r="M298" s="103"/>
      <c r="N298" s="93">
        <f ca="1">IFERROR(__xludf.DUMMYFUNCTION("IMPORTRANGE(""https://docs.google.com/spreadsheets/d/1Yj_ptqi66GCucihVvJfMjLAmec39IyEx_6qawtMGysU/edit?usp=sharing"",""สบก!CV34"")"),0)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IFERROR(__xludf.DUMMYFUNCTION("IMPORTRANGE(""https://docs.google.com/spreadsheets/d/11923uPwbBZFjjGgGUA6NLw09EwE0CqkOc4q9oUmW1yo/edit?usp=sharing"",""สุโขทัย!J205"")"),0)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IFERROR(__xludf.DUMMYFUNCTION("IMPORTRANGE(""https://docs.google.com/spreadsheets/d/11923uPwbBZFjjGgGUA6NLw09EwE0CqkOc4q9oUmW1yo/edit?usp=sharing"",""สุโขทัย!J206"")"),0)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IFERROR(__xludf.DUMMYFUNCTION("IMPORTRANGE(""https://docs.google.com/spreadsheets/d/11923uPwbBZFjjGgGUA6NLw09EwE0CqkOc4q9oUmW1yo/edit?usp=sharing"",""สุโขทัย!J207"")"),0)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IFERROR(__xludf.DUMMYFUNCTION("IMPORTRANGE(""https://docs.google.com/spreadsheets/d/11923uPwbBZFjjGgGUA6NLw09EwE0CqkOc4q9oUmW1yo/edit?usp=sharing"",""สุโขทัย!J208"")"),0)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IFERROR(__xludf.DUMMYFUNCTION("IMPORTRANGE(""https://docs.google.com/spreadsheets/d/11923uPwbBZFjjGgGUA6NLw09EwE0CqkOc4q9oUmW1yo/edit?usp=sharing"",""สุโขทัย!I209"")"),0)</f>
        <v>0</v>
      </c>
      <c r="J304" s="213">
        <f ca="1">IFERROR(__xludf.DUMMYFUNCTION("IMPORTRANGE(""https://docs.google.com/spreadsheets/d/11923uPwbBZFjjGgGUA6NLw09EwE0CqkOc4q9oUmW1yo/edit?usp=sharing"",""สุโขทัย!J209"")"),0)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IFERROR(__xludf.DUMMYFUNCTION("IMPORTRANGE(""https://docs.google.com/spreadsheets/d/11923uPwbBZFjjGgGUA6NLw09EwE0CqkOc4q9oUmW1yo/edit?usp=sharing"",""สุโขทัย!I211"")"),0)</f>
        <v>0</v>
      </c>
      <c r="J306" s="213">
        <f ca="1">IFERROR(__xludf.DUMMYFUNCTION("IMPORTRANGE(""https://docs.google.com/spreadsheets/d/11923uPwbBZFjjGgGUA6NLw09EwE0CqkOc4q9oUmW1yo/edit?usp=sharing"",""สุโขทัย!J211"")"),0)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IFERROR(__xludf.DUMMYFUNCTION("IMPORTRANGE(""https://docs.google.com/spreadsheets/d/11923uPwbBZFjjGgGUA6NLw09EwE0CqkOc4q9oUmW1yo/edit?usp=sharing"",""สุโขทัย!J212"")"),0)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IFERROR(__xludf.DUMMYFUNCTION("IMPORTRANGE(""https://docs.google.com/spreadsheets/d/11923uPwbBZFjjGgGUA6NLw09EwE0CqkOc4q9oUmW1yo/edit?usp=sharing"",""สุโขทัย!J213"")"),0)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IFERROR(__xludf.DUMMYFUNCTION("IMPORTRANGE(""https://docs.google.com/spreadsheets/d/11923uPwbBZFjjGgGUA6NLw09EwE0CqkOc4q9oUmW1yo/edit?usp=sharing"",""สุโขทัย!I214"")"),0)</f>
        <v>0</v>
      </c>
      <c r="J309" s="341">
        <f ca="1">IFERROR(__xludf.DUMMYFUNCTION("IMPORTRANGE(""https://docs.google.com/spreadsheets/d/11923uPwbBZFjjGgGUA6NLw09EwE0CqkOc4q9oUmW1yo/edit?usp=sharing"",""สุโขทัย!J214"")"),0)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IFERROR(__xludf.DUMMYFUNCTION("IMPORTRANGE(""https://docs.google.com/spreadsheets/d/1Yj_ptqi66GCucihVvJfMjLAmec39IyEx_6qawtMGysU/edit?usp=sharing"",""สบก!DC34"")"),0)</f>
        <v>0</v>
      </c>
      <c r="N314" s="177">
        <f ca="1">IFERROR(__xludf.DUMMYFUNCTION("IMPORTRANGE(""https://docs.google.com/spreadsheets/d/1Yj_ptqi66GCucihVvJfMjLAmec39IyEx_6qawtMGysU/edit?usp=sharing"",""สบก!DD34"")"),0)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IFERROR(__xludf.DUMMYFUNCTION("IMPORTRANGE(""https://docs.google.com/spreadsheets/d/1Yj_ptqi66GCucihVvJfMjLAmec39IyEx_6qawtMGysU/edit?usp=sharing"",""สบก!CY34"")"),0)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IFERROR(__xludf.DUMMYFUNCTION("IMPORTRANGE(""https://docs.google.com/spreadsheets/d/1Yj_ptqi66GCucihVvJfMjLAmec39IyEx_6qawtMGysU/edit?usp=sharing"",""สบก!CZ34"")"),0)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IFERROR(__xludf.DUMMYFUNCTION("IMPORTRANGE(""https://docs.google.com/spreadsheets/d/1Yj_ptqi66GCucihVvJfMjLAmec39IyEx_6qawtMGysU/edit?usp=sharing"",""สบก!DA34"")"),0)</f>
        <v>0</v>
      </c>
      <c r="M318" s="103"/>
      <c r="N318" s="93">
        <f ca="1">IFERROR(__xludf.DUMMYFUNCTION("IMPORTRANGE(""https://docs.google.com/spreadsheets/d/1Yj_ptqi66GCucihVvJfMjLAmec39IyEx_6qawtMGysU/edit?usp=sharing"",""สบก!DE34"")"),0)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IFERROR(__xludf.DUMMYFUNCTION("IMPORTRANGE(""https://docs.google.com/spreadsheets/d/11923uPwbBZFjjGgGUA6NLw09EwE0CqkOc4q9oUmW1yo/edit?usp=sharing"",""สุโขทัย!J220"")"),0)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IFERROR(__xludf.DUMMYFUNCTION("IMPORTRANGE(""https://docs.google.com/spreadsheets/d/11923uPwbBZFjjGgGUA6NLw09EwE0CqkOc4q9oUmW1yo/edit?usp=sharing"",""สุโขทัย!J221"")"),0)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IFERROR(__xludf.DUMMYFUNCTION("IMPORTRANGE(""https://docs.google.com/spreadsheets/d/11923uPwbBZFjjGgGUA6NLw09EwE0CqkOc4q9oUmW1yo/edit?usp=sharing"",""สุโขทัย!J222"")"),0)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IFERROR(__xludf.DUMMYFUNCTION("IMPORTRANGE(""https://docs.google.com/spreadsheets/d/11923uPwbBZFjjGgGUA6NLw09EwE0CqkOc4q9oUmW1yo/edit?usp=sharing"",""สุโขทัย!J223"")"),0)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IFERROR(__xludf.DUMMYFUNCTION("IMPORTRANGE(""https://docs.google.com/spreadsheets/d/11923uPwbBZFjjGgGUA6NLw09EwE0CqkOc4q9oUmW1yo/edit?usp=sharing"",""สุโขทัย!I224"")"),0)</f>
        <v>0</v>
      </c>
      <c r="J324" s="213">
        <f ca="1">IFERROR(__xludf.DUMMYFUNCTION("IMPORTRANGE(""https://docs.google.com/spreadsheets/d/11923uPwbBZFjjGgGUA6NLw09EwE0CqkOc4q9oUmW1yo/edit?usp=sharing"",""สุโขทัย!J224"")"),0)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IFERROR(__xludf.DUMMYFUNCTION("IMPORTRANGE(""https://docs.google.com/spreadsheets/d/11923uPwbBZFjjGgGUA6NLw09EwE0CqkOc4q9oUmW1yo/edit?usp=sharing"",""สุโขทัย!J225"")"),0)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IFERROR(__xludf.DUMMYFUNCTION("IMPORTRANGE(""https://docs.google.com/spreadsheets/d/11923uPwbBZFjjGgGUA6NLw09EwE0CqkOc4q9oUmW1yo/edit?usp=sharing"",""สุโขทัย!J226"")"),0)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IFERROR(__xludf.DUMMYFUNCTION("IMPORTRANGE(""https://docs.google.com/spreadsheets/d/11923uPwbBZFjjGgGUA6NLw09EwE0CqkOc4q9oUmW1yo/edit?usp=sharing"",""สุโขทัย!I228"")"),270)</f>
        <v>270</v>
      </c>
      <c r="J328" s="347">
        <f ca="1">IFERROR(__xludf.DUMMYFUNCTION("IMPORTRANGE(""https://docs.google.com/spreadsheets/d/11923uPwbBZFjjGgGUA6NLw09EwE0CqkOc4q9oUmW1yo/edit?usp=sharing"",""สุโขทัย!J228"")"),11)</f>
        <v>11</v>
      </c>
      <c r="K328" s="325">
        <f ca="1">IF(I328&gt;0,J328*100/I328,0)</f>
        <v>4.0740740740740744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868030</v>
      </c>
      <c r="M329" s="158">
        <f t="shared" ca="1" si="98"/>
        <v>459580</v>
      </c>
      <c r="N329" s="158">
        <f t="shared" ca="1" si="98"/>
        <v>336310</v>
      </c>
      <c r="O329" s="157">
        <f t="shared" ref="O329:O331" ca="1" si="99">IF(L329&gt;0,N329*100/L329,0)</f>
        <v>38.74405262490928</v>
      </c>
      <c r="P329" s="157">
        <f t="shared" ref="P329:P331" ca="1" si="100">IF(M329&gt;0,N329*100/M329,0)</f>
        <v>73.177683972322555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868030</v>
      </c>
      <c r="M331" s="163">
        <f t="shared" ca="1" si="102"/>
        <v>459580</v>
      </c>
      <c r="N331" s="163">
        <f t="shared" ca="1" si="102"/>
        <v>336310</v>
      </c>
      <c r="O331" s="162">
        <f t="shared" ca="1" si="99"/>
        <v>38.74405262490928</v>
      </c>
      <c r="P331" s="162">
        <f t="shared" ca="1" si="100"/>
        <v>73.177683972322555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868030</v>
      </c>
      <c r="M333" s="176">
        <f ca="1">IFERROR(__xludf.DUMMYFUNCTION("IMPORTRANGE(""https://docs.google.com/spreadsheets/d/1Yj_ptqi66GCucihVvJfMjLAmec39IyEx_6qawtMGysU/edit?usp=sharing"",""สบก!DL34"")"),459580)</f>
        <v>459580</v>
      </c>
      <c r="N333" s="177">
        <f ca="1">IFERROR(__xludf.DUMMYFUNCTION("IMPORTRANGE(""https://docs.google.com/spreadsheets/d/1Yj_ptqi66GCucihVvJfMjLAmec39IyEx_6qawtMGysU/edit?usp=sharing"",""สบก!DM34"")"),336310)</f>
        <v>336310</v>
      </c>
      <c r="O333" s="178">
        <f ca="1">IF(L333&gt;0,N333*100/L333,0)</f>
        <v>38.74405262490928</v>
      </c>
      <c r="P333" s="178">
        <f ca="1">IF(M333&gt;0,N333*100/M333,0)</f>
        <v>73.177683972322555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IFERROR(__xludf.DUMMYFUNCTION("IMPORTRANGE(""https://docs.google.com/spreadsheets/d/1Yj_ptqi66GCucihVvJfMjLAmec39IyEx_6qawtMGysU/edit?usp=sharing"",""สบก!DH34"")"),529200)</f>
        <v>529200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IFERROR(__xludf.DUMMYFUNCTION("IMPORTRANGE(""https://docs.google.com/spreadsheets/d/1Yj_ptqi66GCucihVvJfMjLAmec39IyEx_6qawtMGysU/edit?usp=sharing"",""สบก!DI34"")"),338830)</f>
        <v>338830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IFERROR(__xludf.DUMMYFUNCTION("IMPORTRANGE(""https://docs.google.com/spreadsheets/d/1Yj_ptqi66GCucihVvJfMjLAmec39IyEx_6qawtMGysU/edit?usp=sharing"",""สบก!DJ34"")"),0)</f>
        <v>0</v>
      </c>
      <c r="M337" s="103"/>
      <c r="N337" s="93">
        <f ca="1">IFERROR(__xludf.DUMMYFUNCTION("IMPORTRANGE(""https://docs.google.com/spreadsheets/d/1Yj_ptqi66GCucihVvJfMjLAmec39IyEx_6qawtMGysU/edit?usp=sharing"",""สบก!DN34"")"),0)</f>
        <v>0</v>
      </c>
      <c r="O337" s="103">
        <f ca="1">IF(L337&gt;0,N337*100/L337,0)</f>
        <v>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IFERROR(__xludf.DUMMYFUNCTION("IMPORTRANGE(""https://docs.google.com/spreadsheets/d/11923uPwbBZFjjGgGUA6NLw09EwE0CqkOc4q9oUmW1yo/edit?usp=sharing"",""สุโขทัย!I234"")"),0)</f>
        <v>0</v>
      </c>
      <c r="J339" s="197">
        <f ca="1">IFERROR(__xludf.DUMMYFUNCTION("IMPORTRANGE(""https://docs.google.com/spreadsheets/d/11923uPwbBZFjjGgGUA6NLw09EwE0CqkOc4q9oUmW1yo/edit?usp=sharing"",""สุโขทัย!J234"")"),73)</f>
        <v>73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IFERROR(__xludf.DUMMYFUNCTION("IMPORTRANGE(""https://docs.google.com/spreadsheets/d/11923uPwbBZFjjGgGUA6NLw09EwE0CqkOc4q9oUmW1yo/edit?usp=sharing"",""สุโขทัย!I235"")"),1440)</f>
        <v>1440</v>
      </c>
      <c r="J340" s="197">
        <f ca="1">IFERROR(__xludf.DUMMYFUNCTION("IMPORTRANGE(""https://docs.google.com/spreadsheets/d/11923uPwbBZFjjGgGUA6NLw09EwE0CqkOc4q9oUmW1yo/edit?usp=sharing"",""สุโขทัย!J235"")"),687.01)</f>
        <v>687.01</v>
      </c>
      <c r="K340" s="350">
        <f t="shared" ca="1" si="103"/>
        <v>47.709027777777777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IFERROR(__xludf.DUMMYFUNCTION("IMPORTRANGE(""https://docs.google.com/spreadsheets/d/11923uPwbBZFjjGgGUA6NLw09EwE0CqkOc4q9oUmW1yo/edit?usp=sharing"",""สุโขทัย!I236"")"),270)</f>
        <v>270</v>
      </c>
      <c r="J341" s="197">
        <f ca="1">IFERROR(__xludf.DUMMYFUNCTION("IMPORTRANGE(""https://docs.google.com/spreadsheets/d/11923uPwbBZFjjGgGUA6NLw09EwE0CqkOc4q9oUmW1yo/edit?usp=sharing"",""สุโขทัย!J236"")"),60)</f>
        <v>60</v>
      </c>
      <c r="K341" s="350">
        <f t="shared" ca="1" si="103"/>
        <v>22.222222222222221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IFERROR(__xludf.DUMMYFUNCTION("IMPORTRANGE(""https://docs.google.com/spreadsheets/d/11923uPwbBZFjjGgGUA6NLw09EwE0CqkOc4q9oUmW1yo/edit?usp=sharing"",""สุโขทัย!I237"")"),0)</f>
        <v>0</v>
      </c>
      <c r="J342" s="197">
        <f ca="1">IFERROR(__xludf.DUMMYFUNCTION("IMPORTRANGE(""https://docs.google.com/spreadsheets/d/11923uPwbBZFjjGgGUA6NLw09EwE0CqkOc4q9oUmW1yo/edit?usp=sharing"",""สุโขทัย!J237"")"),584.46)</f>
        <v>584.46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IFERROR(__xludf.DUMMYFUNCTION("IMPORTRANGE(""https://docs.google.com/spreadsheets/d/11923uPwbBZFjjGgGUA6NLw09EwE0CqkOc4q9oUmW1yo/edit?usp=sharing"",""สุโขทัย!I238"")"),270)</f>
        <v>270</v>
      </c>
      <c r="J343" s="197">
        <f ca="1">IFERROR(__xludf.DUMMYFUNCTION("IMPORTRANGE(""https://docs.google.com/spreadsheets/d/11923uPwbBZFjjGgGUA6NLw09EwE0CqkOc4q9oUmW1yo/edit?usp=sharing"",""สุโขทัย!J238"")"),0)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IFERROR(__xludf.DUMMYFUNCTION("IMPORTRANGE(""https://docs.google.com/spreadsheets/d/11923uPwbBZFjjGgGUA6NLw09EwE0CqkOc4q9oUmW1yo/edit?usp=sharing"",""สุโขทัย!I239"")"),0)</f>
        <v>0</v>
      </c>
      <c r="J344" s="197">
        <f ca="1">IFERROR(__xludf.DUMMYFUNCTION("IMPORTRANGE(""https://docs.google.com/spreadsheets/d/11923uPwbBZFjjGgGUA6NLw09EwE0CqkOc4q9oUmW1yo/edit?usp=sharing"",""สุโขทัย!J239"")"),0)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IFERROR(__xludf.DUMMYFUNCTION("IMPORTRANGE(""https://docs.google.com/spreadsheets/d/11923uPwbBZFjjGgGUA6NLw09EwE0CqkOc4q9oUmW1yo/edit?usp=sharing"",""สุโขทัย!I240"")"),270)</f>
        <v>270</v>
      </c>
      <c r="J345" s="197">
        <f ca="1">IFERROR(__xludf.DUMMYFUNCTION("IMPORTRANGE(""https://docs.google.com/spreadsheets/d/11923uPwbBZFjjGgGUA6NLw09EwE0CqkOc4q9oUmW1yo/edit?usp=sharing"",""สุโขทัย!J240"")"),11)</f>
        <v>11</v>
      </c>
      <c r="K345" s="350">
        <f t="shared" ca="1" si="103"/>
        <v>4.0740740740740744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IFERROR(__xludf.DUMMYFUNCTION("IMPORTRANGE(""https://docs.google.com/spreadsheets/d/11923uPwbBZFjjGgGUA6NLw09EwE0CqkOc4q9oUmW1yo/edit?usp=sharing"",""สุโขทัย!I241"")"),0)</f>
        <v>0</v>
      </c>
      <c r="J346" s="197">
        <f ca="1">IFERROR(__xludf.DUMMYFUNCTION("IMPORTRANGE(""https://docs.google.com/spreadsheets/d/11923uPwbBZFjjGgGUA6NLw09EwE0CqkOc4q9oUmW1yo/edit?usp=sharing"",""สุโขทัย!J241"")"),110.8)</f>
        <v>110.8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IFERROR(__xludf.DUMMYFUNCTION("IMPORTRANGE(""https://docs.google.com/spreadsheets/d/11923uPwbBZFjjGgGUA6NLw09EwE0CqkOc4q9oUmW1yo/edit?usp=sharing"",""สุโขทัย!L242"")"),1955983)</f>
        <v>1955983</v>
      </c>
      <c r="M347" s="366"/>
      <c r="N347" s="366">
        <f ca="1">IFERROR(__xludf.DUMMYFUNCTION("IMPORTRANGE(""https://docs.google.com/spreadsheets/d/11923uPwbBZFjjGgGUA6NLw09EwE0CqkOc4q9oUmW1yo/edit?usp=sharing"",""สุโขทัย!M242"")"),329690)</f>
        <v>329690</v>
      </c>
      <c r="O347" s="366">
        <f ca="1">+IF(L347&gt;0,N347*100/L347,0)</f>
        <v>16.855463467729525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IFERROR(__xludf.DUMMYFUNCTION("IMPORTRANGE(""https://docs.google.com/spreadsheets/d/11923uPwbBZFjjGgGUA6NLw09EwE0CqkOc4q9oUmW1yo/edit?usp=sharing"",""สุโขทัย!I244"")"),80)</f>
        <v>80</v>
      </c>
      <c r="J349" s="379">
        <f ca="1">IFERROR(__xludf.DUMMYFUNCTION("IMPORTRANGE(""https://docs.google.com/spreadsheets/d/11923uPwbBZFjjGgGUA6NLw09EwE0CqkOc4q9oUmW1yo/edit?usp=sharing"",""สุโขทัย!J244"")"),0)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IFERROR(__xludf.DUMMYFUNCTION("IMPORTRANGE(""https://docs.google.com/spreadsheets/d/11923uPwbBZFjjGgGUA6NLw09EwE0CqkOc4q9oUmW1yo/edit?usp=sharing"",""สุโขทัย!L244"")"),367080)</f>
        <v>367080</v>
      </c>
      <c r="M349" s="381"/>
      <c r="N349" s="381">
        <f ca="1">IFERROR(__xludf.DUMMYFUNCTION("IMPORTRANGE(""https://docs.google.com/spreadsheets/d/11923uPwbBZFjjGgGUA6NLw09EwE0CqkOc4q9oUmW1yo/edit?usp=sharing"",""สุโขทัย!M244"")"),32720)</f>
        <v>32720</v>
      </c>
      <c r="O349" s="381">
        <f ca="1">+IF(L349&gt;0,N349*100/L349,0)</f>
        <v>8.9135883186226437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IFERROR(__xludf.DUMMYFUNCTION("IMPORTRANGE(""https://docs.google.com/spreadsheets/d/11923uPwbBZFjjGgGUA6NLw09EwE0CqkOc4q9oUmW1yo/edit?usp=sharing"",""สุโขทัย!I245"")"),80)</f>
        <v>80</v>
      </c>
      <c r="J350" s="379">
        <f ca="1">IFERROR(__xludf.DUMMYFUNCTION("IMPORTRANGE(""https://docs.google.com/spreadsheets/d/11923uPwbBZFjjGgGUA6NLw09EwE0CqkOc4q9oUmW1yo/edit?usp=sharing"",""สุโขทัย!J245"")"),0)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IFERROR(__xludf.DUMMYFUNCTION("IMPORTRANGE(""https://docs.google.com/spreadsheets/d/11923uPwbBZFjjGgGUA6NLw09EwE0CqkOc4q9oUmW1yo/edit?usp=sharing"",""สุโขทัย!L246"")"),0)</f>
        <v>0</v>
      </c>
      <c r="M351" s="172"/>
      <c r="N351" s="172">
        <f ca="1">IFERROR(__xludf.DUMMYFUNCTION("IMPORTRANGE(""https://docs.google.com/spreadsheets/d/11923uPwbBZFjjGgGUA6NLw09EwE0CqkOc4q9oUmW1yo/edit?usp=sharing"",""สุโขทัย!M246"")"),0)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IFERROR(__xludf.DUMMYFUNCTION("IMPORTRANGE(""https://docs.google.com/spreadsheets/d/11923uPwbBZFjjGgGUA6NLw09EwE0CqkOc4q9oUmW1yo/edit?usp=sharing"",""สุโขทัย!L247"")"),367080)</f>
        <v>367080</v>
      </c>
      <c r="M352" s="173"/>
      <c r="N352" s="172">
        <f ca="1">IFERROR(__xludf.DUMMYFUNCTION("IMPORTRANGE(""https://docs.google.com/spreadsheets/d/11923uPwbBZFjjGgGUA6NLw09EwE0CqkOc4q9oUmW1yo/edit?usp=sharing"",""สุโขทัย!M247"")"),32720)</f>
        <v>32720</v>
      </c>
      <c r="O352" s="173">
        <f t="shared" ca="1" si="105"/>
        <v>8.9135883186226437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IFERROR(__xludf.DUMMYFUNCTION("IMPORTRANGE(""https://docs.google.com/spreadsheets/d/11923uPwbBZFjjGgGUA6NLw09EwE0CqkOc4q9oUmW1yo/edit?usp=sharing"",""สุโขทัย!L248"")"),0)</f>
        <v>0</v>
      </c>
      <c r="M353" s="178"/>
      <c r="N353" s="178">
        <f ca="1">IFERROR(__xludf.DUMMYFUNCTION("IMPORTRANGE(""https://docs.google.com/spreadsheets/d/11923uPwbBZFjjGgGUA6NLw09EwE0CqkOc4q9oUmW1yo/edit?usp=sharing"",""สุโขทัย!M248"")"),0)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IFERROR(__xludf.DUMMYFUNCTION("IMPORTRANGE(""https://docs.google.com/spreadsheets/d/11923uPwbBZFjjGgGUA6NLw09EwE0CqkOc4q9oUmW1yo/edit?usp=sharing"",""สุโขทัย!L249"")"),367080)</f>
        <v>367080</v>
      </c>
      <c r="M354" s="178"/>
      <c r="N354" s="175">
        <f ca="1">IFERROR(__xludf.DUMMYFUNCTION("IMPORTRANGE(""https://docs.google.com/spreadsheets/d/11923uPwbBZFjjGgGUA6NLw09EwE0CqkOc4q9oUmW1yo/edit?usp=sharing"",""สุโขทัย!M249"")"),32720)</f>
        <v>32720</v>
      </c>
      <c r="O354" s="178">
        <f t="shared" ca="1" si="105"/>
        <v>8.9135883186226437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IFERROR(__xludf.DUMMYFUNCTION("IMPORTRANGE(""https://docs.google.com/spreadsheets/d/11923uPwbBZFjjGgGUA6NLw09EwE0CqkOc4q9oUmW1yo/edit?usp=sharing"",""สุโขทัย!M250"")"),0)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IFERROR(__xludf.DUMMYFUNCTION("IMPORTRANGE(""https://docs.google.com/spreadsheets/d/11923uPwbBZFjjGgGUA6NLw09EwE0CqkOc4q9oUmW1yo/edit?usp=sharing"",""สุโขทัย!M251"")"),0)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IFERROR(__xludf.DUMMYFUNCTION("IMPORTRANGE(""https://docs.google.com/spreadsheets/d/11923uPwbBZFjjGgGUA6NLw09EwE0CqkOc4q9oUmW1yo/edit?usp=sharing"",""สุโขทัย!M252"")"),22000)</f>
        <v>22000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IFERROR(__xludf.DUMMYFUNCTION("IMPORTRANGE(""https://docs.google.com/spreadsheets/d/11923uPwbBZFjjGgGUA6NLw09EwE0CqkOc4q9oUmW1yo/edit?usp=sharing"",""สุโขทัย!M253"")"),10720)</f>
        <v>10720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IFERROR(__xludf.DUMMYFUNCTION("IMPORTRANGE(""https://docs.google.com/spreadsheets/d/11923uPwbBZFjjGgGUA6NLw09EwE0CqkOc4q9oUmW1yo/edit?usp=sharing"",""สุโขทัย!J255"")"),0)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IFERROR(__xludf.DUMMYFUNCTION("IMPORTRANGE(""https://docs.google.com/spreadsheets/d/11923uPwbBZFjjGgGUA6NLw09EwE0CqkOc4q9oUmW1yo/edit?usp=sharing"",""สุโขทัย!J256"")"),1)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IFERROR(__xludf.DUMMYFUNCTION("IMPORTRANGE(""https://docs.google.com/spreadsheets/d/11923uPwbBZFjjGgGUA6NLw09EwE0CqkOc4q9oUmW1yo/edit?usp=sharing"",""สุโขทัย!J257"")"),1)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IFERROR(__xludf.DUMMYFUNCTION("IMPORTRANGE(""https://docs.google.com/spreadsheets/d/11923uPwbBZFjjGgGUA6NLw09EwE0CqkOc4q9oUmW1yo/edit?usp=sharing"",""สุโขทัย!J258"")"),1)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IFERROR(__xludf.DUMMYFUNCTION("IMPORTRANGE(""https://docs.google.com/spreadsheets/d/11923uPwbBZFjjGgGUA6NLw09EwE0CqkOc4q9oUmW1yo/edit?usp=sharing"",""สุโขทัย!J166"")"),0)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IFERROR(__xludf.DUMMYFUNCTION("IMPORTRANGE(""https://docs.google.com/spreadsheets/d/11923uPwbBZFjjGgGUA6NLw09EwE0CqkOc4q9oUmW1yo/edit?usp=sharing"",""สุโขทัย!J166"")"),0)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IFERROR(__xludf.DUMMYFUNCTION("IMPORTRANGE(""https://docs.google.com/spreadsheets/d/11923uPwbBZFjjGgGUA6NLw09EwE0CqkOc4q9oUmW1yo/edit?usp=sharing"",""สุโขทัย!J166"")"),0)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IFERROR(__xludf.DUMMYFUNCTION("IMPORTRANGE(""https://docs.google.com/spreadsheets/d/11923uPwbBZFjjGgGUA6NLw09EwE0CqkOc4q9oUmW1yo/edit?usp=sharing"",""สุโขทัย!J166"")"),0)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IFERROR(__xludf.DUMMYFUNCTION("IMPORTRANGE(""https://docs.google.com/spreadsheets/d/11923uPwbBZFjjGgGUA6NLw09EwE0CqkOc4q9oUmW1yo/edit?usp=sharing"",""สุโขทัย!I263"")"),80)</f>
        <v>80</v>
      </c>
      <c r="J368" s="197">
        <f ca="1">IFERROR(__xludf.DUMMYFUNCTION("IMPORTRANGE(""https://docs.google.com/spreadsheets/d/11923uPwbBZFjjGgGUA6NLw09EwE0CqkOc4q9oUmW1yo/edit?usp=sharing"",""สุโขทัย!J263"")"),0)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IFERROR(__xludf.DUMMYFUNCTION("IMPORTRANGE(""https://docs.google.com/spreadsheets/d/11923uPwbBZFjjGgGUA6NLw09EwE0CqkOc4q9oUmW1yo/edit?usp=sharing"",""สุโขทัย!I164"")"),0)</f>
        <v>0</v>
      </c>
      <c r="J369" s="213">
        <f ca="1">IFERROR(__xludf.DUMMYFUNCTION("IMPORTRANGE(""https://docs.google.com/spreadsheets/d/11923uPwbBZFjjGgGUA6NLw09EwE0CqkOc4q9oUmW1yo/edit?usp=sharing"",""สุโขทัย!J164"")"),0)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IFERROR(__xludf.DUMMYFUNCTION("IMPORTRANGE(""https://docs.google.com/spreadsheets/d/11923uPwbBZFjjGgGUA6NLw09EwE0CqkOc4q9oUmW1yo/edit?usp=sharing"",""สุโขทัย!I265"")"),80)</f>
        <v>80</v>
      </c>
      <c r="J370" s="213">
        <f ca="1">IFERROR(__xludf.DUMMYFUNCTION("IMPORTRANGE(""https://docs.google.com/spreadsheets/d/11923uPwbBZFjjGgGUA6NLw09EwE0CqkOc4q9oUmW1yo/edit?usp=sharing"",""สุโขทัย!J265"")"),0)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IFERROR(__xludf.DUMMYFUNCTION("IMPORTRANGE(""https://docs.google.com/spreadsheets/d/11923uPwbBZFjjGgGUA6NLw09EwE0CqkOc4q9oUmW1yo/edit?usp=sharing"",""สุโขทัย!I164"")"),0)</f>
        <v>0</v>
      </c>
      <c r="J371" s="198">
        <f ca="1">IFERROR(__xludf.DUMMYFUNCTION("IMPORTRANGE(""https://docs.google.com/spreadsheets/d/11923uPwbBZFjjGgGUA6NLw09EwE0CqkOc4q9oUmW1yo/edit?usp=sharing"",""สุโขทัย!J164"")"),0)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IFERROR(__xludf.DUMMYFUNCTION("IMPORTRANGE(""https://docs.google.com/spreadsheets/d/11923uPwbBZFjjGgGUA6NLw09EwE0CqkOc4q9oUmW1yo/edit?usp=sharing"",""สุโขทัย!I267"")"),80)</f>
        <v>80</v>
      </c>
      <c r="J372" s="198">
        <f ca="1">IFERROR(__xludf.DUMMYFUNCTION("IMPORTRANGE(""https://docs.google.com/spreadsheets/d/11923uPwbBZFjjGgGUA6NLw09EwE0CqkOc4q9oUmW1yo/edit?usp=sharing"",""สุโขทัย!J267"")"),0)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IFERROR(__xludf.DUMMYFUNCTION("IMPORTRANGE(""https://docs.google.com/spreadsheets/d/11923uPwbBZFjjGgGUA6NLw09EwE0CqkOc4q9oUmW1yo/edit?usp=sharing"",""สุโขทัย!I164"")"),0)</f>
        <v>0</v>
      </c>
      <c r="J373" s="213">
        <f ca="1">IFERROR(__xludf.DUMMYFUNCTION("IMPORTRANGE(""https://docs.google.com/spreadsheets/d/11923uPwbBZFjjGgGUA6NLw09EwE0CqkOc4q9oUmW1yo/edit?usp=sharing"",""สุโขทัย!J164"")"),0)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IFERROR(__xludf.DUMMYFUNCTION("IMPORTRANGE(""https://docs.google.com/spreadsheets/d/11923uPwbBZFjjGgGUA6NLw09EwE0CqkOc4q9oUmW1yo/edit?usp=sharing"",""สุโขทัย!I164"")"),0)</f>
        <v>0</v>
      </c>
      <c r="J374" s="197">
        <f ca="1">IFERROR(__xludf.DUMMYFUNCTION("IMPORTRANGE(""https://docs.google.com/spreadsheets/d/11923uPwbBZFjjGgGUA6NLw09EwE0CqkOc4q9oUmW1yo/edit?usp=sharing"",""สุโขทัย!J164"")"),0)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IFERROR(__xludf.DUMMYFUNCTION("IMPORTRANGE(""https://docs.google.com/spreadsheets/d/11923uPwbBZFjjGgGUA6NLw09EwE0CqkOc4q9oUmW1yo/edit?usp=sharing"",""สุโขทัย!I270"")"),80)</f>
        <v>80</v>
      </c>
      <c r="J375" s="197">
        <f ca="1">IFERROR(__xludf.DUMMYFUNCTION("IMPORTRANGE(""https://docs.google.com/spreadsheets/d/11923uPwbBZFjjGgGUA6NLw09EwE0CqkOc4q9oUmW1yo/edit?usp=sharing"",""สุโขทัย!J270"")"),0)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IFERROR(__xludf.DUMMYFUNCTION("IMPORTRANGE(""https://docs.google.com/spreadsheets/d/11923uPwbBZFjjGgGUA6NLw09EwE0CqkOc4q9oUmW1yo/edit?usp=sharing"",""สุโขทัย!I271"")"),46)</f>
        <v>46</v>
      </c>
      <c r="J376" s="198">
        <f ca="1">IFERROR(__xludf.DUMMYFUNCTION("IMPORTRANGE(""https://docs.google.com/spreadsheets/d/11923uPwbBZFjjGgGUA6NLw09EwE0CqkOc4q9oUmW1yo/edit?usp=sharing"",""สุโขทัย!J271"")"),0)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IFERROR(__xludf.DUMMYFUNCTION("IMPORTRANGE(""https://docs.google.com/spreadsheets/d/11923uPwbBZFjjGgGUA6NLw09EwE0CqkOc4q9oUmW1yo/edit?usp=sharing"",""สุโขทัย!I272"")"),34)</f>
        <v>34</v>
      </c>
      <c r="J377" s="213">
        <f ca="1">IFERROR(__xludf.DUMMYFUNCTION("IMPORTRANGE(""https://docs.google.com/spreadsheets/d/11923uPwbBZFjjGgGUA6NLw09EwE0CqkOc4q9oUmW1yo/edit?usp=sharing"",""สุโขทัย!J272"")"),0)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IFERROR(__xludf.DUMMYFUNCTION("IMPORTRANGE(""https://docs.google.com/spreadsheets/d/11923uPwbBZFjjGgGUA6NLw09EwE0CqkOc4q9oUmW1yo/edit?usp=sharing"",""สุโขทัย!J273"")"),0)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IFERROR(__xludf.DUMMYFUNCTION("IMPORTRANGE(""https://docs.google.com/spreadsheets/d/11923uPwbBZFjjGgGUA6NLw09EwE0CqkOc4q9oUmW1yo/edit?usp=sharing"",""สุโขทัย!J274"")"),0)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IFERROR(__xludf.DUMMYFUNCTION("IMPORTRANGE(""https://docs.google.com/spreadsheets/d/11923uPwbBZFjjGgGUA6NLw09EwE0CqkOc4q9oUmW1yo/edit?usp=sharing"",""สุโขทัย!I275"")"),200)</f>
        <v>200</v>
      </c>
      <c r="J380" s="379">
        <f ca="1">IFERROR(__xludf.DUMMYFUNCTION("IMPORTRANGE(""https://docs.google.com/spreadsheets/d/11923uPwbBZFjjGgGUA6NLw09EwE0CqkOc4q9oUmW1yo/edit?usp=sharing"",""สุโขทัย!J275"")"),0)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IFERROR(__xludf.DUMMYFUNCTION("IMPORTRANGE(""https://docs.google.com/spreadsheets/d/11923uPwbBZFjjGgGUA6NLw09EwE0CqkOc4q9oUmW1yo/edit?usp=sharing"",""สุโขทัย!L275"")"),207560)</f>
        <v>207560</v>
      </c>
      <c r="M380" s="381"/>
      <c r="N380" s="381">
        <f ca="1">IFERROR(__xludf.DUMMYFUNCTION("IMPORTRANGE(""https://docs.google.com/spreadsheets/d/11923uPwbBZFjjGgGUA6NLw09EwE0CqkOc4q9oUmW1yo/edit?usp=sharing"",""สุโขทัย!M275"")"),1120)</f>
        <v>1120</v>
      </c>
      <c r="O380" s="381">
        <f ca="1">+IF(L380&gt;0,N380*100/L380,0)</f>
        <v>0.5396030063596069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IFERROR(__xludf.DUMMYFUNCTION("IMPORTRANGE(""https://docs.google.com/spreadsheets/d/11923uPwbBZFjjGgGUA6NLw09EwE0CqkOc4q9oUmW1yo/edit?usp=sharing"",""สุโขทัย!I276"")"),20)</f>
        <v>20</v>
      </c>
      <c r="J381" s="379">
        <f ca="1">IFERROR(__xludf.DUMMYFUNCTION("IMPORTRANGE(""https://docs.google.com/spreadsheets/d/11923uPwbBZFjjGgGUA6NLw09EwE0CqkOc4q9oUmW1yo/edit?usp=sharing"",""สุโขทัย!J276"")"),0)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IFERROR(__xludf.DUMMYFUNCTION("IMPORTRANGE(""https://docs.google.com/spreadsheets/d/11923uPwbBZFjjGgGUA6NLw09EwE0CqkOc4q9oUmW1yo/edit?usp=sharing"",""สุโขทัย!L277"")"),0)</f>
        <v>0</v>
      </c>
      <c r="M382" s="172"/>
      <c r="N382" s="172">
        <f ca="1">IFERROR(__xludf.DUMMYFUNCTION("IMPORTRANGE(""https://docs.google.com/spreadsheets/d/11923uPwbBZFjjGgGUA6NLw09EwE0CqkOc4q9oUmW1yo/edit?usp=sharing"",""สุโขทัย!M277"")"),0)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IFERROR(__xludf.DUMMYFUNCTION("IMPORTRANGE(""https://docs.google.com/spreadsheets/d/11923uPwbBZFjjGgGUA6NLw09EwE0CqkOc4q9oUmW1yo/edit?usp=sharing"",""สุโขทัย!L278"")"),207560)</f>
        <v>207560</v>
      </c>
      <c r="M383" s="173"/>
      <c r="N383" s="173">
        <f ca="1">IFERROR(__xludf.DUMMYFUNCTION("IMPORTRANGE(""https://docs.google.com/spreadsheets/d/11923uPwbBZFjjGgGUA6NLw09EwE0CqkOc4q9oUmW1yo/edit?usp=sharing"",""สุโขทัย!M278"")"),1120)</f>
        <v>1120</v>
      </c>
      <c r="O383" s="173">
        <f t="shared" ca="1" si="109"/>
        <v>0.5396030063596069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IFERROR(__xludf.DUMMYFUNCTION("IMPORTRANGE(""https://docs.google.com/spreadsheets/d/11923uPwbBZFjjGgGUA6NLw09EwE0CqkOc4q9oUmW1yo/edit?usp=sharing"",""สุโขทัย!L279"")"),0)</f>
        <v>0</v>
      </c>
      <c r="M384" s="178"/>
      <c r="N384" s="178">
        <f ca="1">IFERROR(__xludf.DUMMYFUNCTION("IMPORTRANGE(""https://docs.google.com/spreadsheets/d/11923uPwbBZFjjGgGUA6NLw09EwE0CqkOc4q9oUmW1yo/edit?usp=sharing"",""สุโขทัย!M279"")"),0)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IFERROR(__xludf.DUMMYFUNCTION("IMPORTRANGE(""https://docs.google.com/spreadsheets/d/11923uPwbBZFjjGgGUA6NLw09EwE0CqkOc4q9oUmW1yo/edit?usp=sharing"",""สุโขทัย!L280"")"),207560)</f>
        <v>207560</v>
      </c>
      <c r="M385" s="178"/>
      <c r="N385" s="175">
        <f ca="1">IFERROR(__xludf.DUMMYFUNCTION("IMPORTRANGE(""https://docs.google.com/spreadsheets/d/11923uPwbBZFjjGgGUA6NLw09EwE0CqkOc4q9oUmW1yo/edit?usp=sharing"",""สุโขทัย!M280"")"),1120)</f>
        <v>1120</v>
      </c>
      <c r="O385" s="178">
        <f t="shared" ca="1" si="109"/>
        <v>0.5396030063596069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IFERROR(__xludf.DUMMYFUNCTION("IMPORTRANGE(""https://docs.google.com/spreadsheets/d/11923uPwbBZFjjGgGUA6NLw09EwE0CqkOc4q9oUmW1yo/edit?usp=sharing"",""สุโขทัย!M281"")"),0)</f>
        <v>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IFERROR(__xludf.DUMMYFUNCTION("IMPORTRANGE(""https://docs.google.com/spreadsheets/d/11923uPwbBZFjjGgGUA6NLw09EwE0CqkOc4q9oUmW1yo/edit?usp=sharing"",""สุโขทัย!M282"")"),0)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IFERROR(__xludf.DUMMYFUNCTION("IMPORTRANGE(""https://docs.google.com/spreadsheets/d/11923uPwbBZFjjGgGUA6NLw09EwE0CqkOc4q9oUmW1yo/edit?usp=sharing"",""สุโขทัย!M283"")"),0)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IFERROR(__xludf.DUMMYFUNCTION("IMPORTRANGE(""https://docs.google.com/spreadsheets/d/11923uPwbBZFjjGgGUA6NLw09EwE0CqkOc4q9oUmW1yo/edit?usp=sharing"",""สุโขทัย!M284"")"),1120)</f>
        <v>1120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IFERROR(__xludf.DUMMYFUNCTION("IMPORTRANGE(""https://docs.google.com/spreadsheets/d/11923uPwbBZFjjGgGUA6NLw09EwE0CqkOc4q9oUmW1yo/edit?usp=sharing"",""สุโขทัย!J286"")"),0)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IFERROR(__xludf.DUMMYFUNCTION("IMPORTRANGE(""https://docs.google.com/spreadsheets/d/11923uPwbBZFjjGgGUA6NLw09EwE0CqkOc4q9oUmW1yo/edit?usp=sharing"",""สุโขทัย!J287"")"),1)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IFERROR(__xludf.DUMMYFUNCTION("IMPORTRANGE(""https://docs.google.com/spreadsheets/d/11923uPwbBZFjjGgGUA6NLw09EwE0CqkOc4q9oUmW1yo/edit?usp=sharing"",""สุโขทัย!J288"")"),1)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IFERROR(__xludf.DUMMYFUNCTION("IMPORTRANGE(""https://docs.google.com/spreadsheets/d/11923uPwbBZFjjGgGUA6NLw09EwE0CqkOc4q9oUmW1yo/edit?usp=sharing"",""สุโขทัย!J289"")"),0)</f>
        <v>0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IFERROR(__xludf.DUMMYFUNCTION("IMPORTRANGE(""https://docs.google.com/spreadsheets/d/11923uPwbBZFjjGgGUA6NLw09EwE0CqkOc4q9oUmW1yo/edit?usp=sharing"",""สุโขทัย!I291"")"),20)</f>
        <v>20</v>
      </c>
      <c r="J396" s="207">
        <f ca="1">IFERROR(__xludf.DUMMYFUNCTION("IMPORTRANGE(""https://docs.google.com/spreadsheets/d/11923uPwbBZFjjGgGUA6NLw09EwE0CqkOc4q9oUmW1yo/edit?usp=sharing"",""สุโขทัย!J291"")"),0)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IFERROR(__xludf.DUMMYFUNCTION("IMPORTRANGE(""https://docs.google.com/spreadsheets/d/11923uPwbBZFjjGgGUA6NLw09EwE0CqkOc4q9oUmW1yo/edit?usp=sharing"",""สุโขทัย!I292"")"),200)</f>
        <v>200</v>
      </c>
      <c r="J397" s="207">
        <f ca="1">IFERROR(__xludf.DUMMYFUNCTION("IMPORTRANGE(""https://docs.google.com/spreadsheets/d/11923uPwbBZFjjGgGUA6NLw09EwE0CqkOc4q9oUmW1yo/edit?usp=sharing"",""สุโขทัย!J292"")"),0)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IFERROR(__xludf.DUMMYFUNCTION("IMPORTRANGE(""https://docs.google.com/spreadsheets/d/11923uPwbBZFjjGgGUA6NLw09EwE0CqkOc4q9oUmW1yo/edit?usp=sharing"",""สุโขทัย!I293"")"),20)</f>
        <v>20</v>
      </c>
      <c r="J398" s="207">
        <f ca="1">IFERROR(__xludf.DUMMYFUNCTION("IMPORTRANGE(""https://docs.google.com/spreadsheets/d/11923uPwbBZFjjGgGUA6NLw09EwE0CqkOc4q9oUmW1yo/edit?usp=sharing"",""สุโขทัย!J293"")"),0)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IFERROR(__xludf.DUMMYFUNCTION("IMPORTRANGE(""https://docs.google.com/spreadsheets/d/11923uPwbBZFjjGgGUA6NLw09EwE0CqkOc4q9oUmW1yo/edit?usp=sharing"",""สุโขทัย!J294"")"),0)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IFERROR(__xludf.DUMMYFUNCTION("IMPORTRANGE(""https://docs.google.com/spreadsheets/d/11923uPwbBZFjjGgGUA6NLw09EwE0CqkOc4q9oUmW1yo/edit?usp=sharing"",""สุโขทัย!J295"")"),0)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IFERROR(__xludf.DUMMYFUNCTION("IMPORTRANGE(""https://docs.google.com/spreadsheets/d/11923uPwbBZFjjGgGUA6NLw09EwE0CqkOc4q9oUmW1yo/edit?usp=sharing"",""สุโขทัย!I296"")"),285)</f>
        <v>285</v>
      </c>
      <c r="J401" s="379">
        <f ca="1">IFERROR(__xludf.DUMMYFUNCTION("IMPORTRANGE(""https://docs.google.com/spreadsheets/d/11923uPwbBZFjjGgGUA6NLw09EwE0CqkOc4q9oUmW1yo/edit?usp=sharing"",""สุโขทัย!J296"")"),0)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IFERROR(__xludf.DUMMYFUNCTION("IMPORTRANGE(""https://docs.google.com/spreadsheets/d/11923uPwbBZFjjGgGUA6NLw09EwE0CqkOc4q9oUmW1yo/edit?usp=sharing"",""สุโขทัย!L296"")"),300950)</f>
        <v>300950</v>
      </c>
      <c r="M401" s="381"/>
      <c r="N401" s="381">
        <f ca="1">IFERROR(__xludf.DUMMYFUNCTION("IMPORTRANGE(""https://docs.google.com/spreadsheets/d/11923uPwbBZFjjGgGUA6NLw09EwE0CqkOc4q9oUmW1yo/edit?usp=sharing"",""สุโขทัย!M296"")"),143615)</f>
        <v>143615</v>
      </c>
      <c r="O401" s="381">
        <f ca="1">+IF(L401&gt;0,N401*100/L401,0)</f>
        <v>47.720551586642301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IFERROR(__xludf.DUMMYFUNCTION("IMPORTRANGE(""https://docs.google.com/spreadsheets/d/11923uPwbBZFjjGgGUA6NLw09EwE0CqkOc4q9oUmW1yo/edit?usp=sharing"",""สุโขทัย!I297"")"),95)</f>
        <v>95</v>
      </c>
      <c r="J402" s="379">
        <f ca="1">IFERROR(__xludf.DUMMYFUNCTION("IMPORTRANGE(""https://docs.google.com/spreadsheets/d/11923uPwbBZFjjGgGUA6NLw09EwE0CqkOc4q9oUmW1yo/edit?usp=sharing"",""สุโขทัย!J297"")"),85)</f>
        <v>85</v>
      </c>
      <c r="K402" s="380">
        <f t="shared" ca="1" si="111"/>
        <v>89.473684210526315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IFERROR(__xludf.DUMMYFUNCTION("IMPORTRANGE(""https://docs.google.com/spreadsheets/d/11923uPwbBZFjjGgGUA6NLw09EwE0CqkOc4q9oUmW1yo/edit?usp=sharing"",""สุโขทัย!L298"")"),0)</f>
        <v>0</v>
      </c>
      <c r="M403" s="172"/>
      <c r="N403" s="178">
        <f ca="1">IFERROR(__xludf.DUMMYFUNCTION("IMPORTRANGE(""https://docs.google.com/spreadsheets/d/11923uPwbBZFjjGgGUA6NLw09EwE0CqkOc4q9oUmW1yo/edit?usp=sharing"",""สุโขทัย!M298"")"),0)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IFERROR(__xludf.DUMMYFUNCTION("IMPORTRANGE(""https://docs.google.com/spreadsheets/d/11923uPwbBZFjjGgGUA6NLw09EwE0CqkOc4q9oUmW1yo/edit?usp=sharing"",""สุโขทัย!L299"")"),300950)</f>
        <v>300950</v>
      </c>
      <c r="M404" s="173"/>
      <c r="N404" s="178">
        <f ca="1">IFERROR(__xludf.DUMMYFUNCTION("IMPORTRANGE(""https://docs.google.com/spreadsheets/d/11923uPwbBZFjjGgGUA6NLw09EwE0CqkOc4q9oUmW1yo/edit?usp=sharing"",""สุโขทัย!M299"")"),143615)</f>
        <v>143615</v>
      </c>
      <c r="O404" s="178">
        <f t="shared" ca="1" si="112"/>
        <v>47.720551586642301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IFERROR(__xludf.DUMMYFUNCTION("IMPORTRANGE(""https://docs.google.com/spreadsheets/d/11923uPwbBZFjjGgGUA6NLw09EwE0CqkOc4q9oUmW1yo/edit?usp=sharing"",""สุโขทัย!L300"")"),0)</f>
        <v>0</v>
      </c>
      <c r="M405" s="178"/>
      <c r="N405" s="178">
        <f ca="1">IFERROR(__xludf.DUMMYFUNCTION("IMPORTRANGE(""https://docs.google.com/spreadsheets/d/11923uPwbBZFjjGgGUA6NLw09EwE0CqkOc4q9oUmW1yo/edit?usp=sharing"",""สุโขทัย!M300"")"),0)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IFERROR(__xludf.DUMMYFUNCTION("IMPORTRANGE(""https://docs.google.com/spreadsheets/d/11923uPwbBZFjjGgGUA6NLw09EwE0CqkOc4q9oUmW1yo/edit?usp=sharing"",""สุโขทัย!L301"")"),300950)</f>
        <v>300950</v>
      </c>
      <c r="M406" s="178"/>
      <c r="N406" s="178">
        <f ca="1">IFERROR(__xludf.DUMMYFUNCTION("IMPORTRANGE(""https://docs.google.com/spreadsheets/d/11923uPwbBZFjjGgGUA6NLw09EwE0CqkOc4q9oUmW1yo/edit?usp=sharing"",""สุโขทัย!M301"")"),143615)</f>
        <v>143615</v>
      </c>
      <c r="O406" s="178">
        <f t="shared" ca="1" si="112"/>
        <v>47.720551586642301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IFERROR(__xludf.DUMMYFUNCTION("IMPORTRANGE(""https://docs.google.com/spreadsheets/d/11923uPwbBZFjjGgGUA6NLw09EwE0CqkOc4q9oUmW1yo/edit?usp=sharing"",""สุโขทัย!M302"")"),128255)</f>
        <v>128255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IFERROR(__xludf.DUMMYFUNCTION("IMPORTRANGE(""https://docs.google.com/spreadsheets/d/11923uPwbBZFjjGgGUA6NLw09EwE0CqkOc4q9oUmW1yo/edit?usp=sharing"",""สุโขทัย!M303"")"),0)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IFERROR(__xludf.DUMMYFUNCTION("IMPORTRANGE(""https://docs.google.com/spreadsheets/d/11923uPwbBZFjjGgGUA6NLw09EwE0CqkOc4q9oUmW1yo/edit?usp=sharing"",""สุโขทัย!M304"")"),0)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IFERROR(__xludf.DUMMYFUNCTION("IMPORTRANGE(""https://docs.google.com/spreadsheets/d/11923uPwbBZFjjGgGUA6NLw09EwE0CqkOc4q9oUmW1yo/edit?usp=sharing"",""สุโขทัย!M305"")"),15360)</f>
        <v>15360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IFERROR(__xludf.DUMMYFUNCTION("IMPORTRANGE(""https://docs.google.com/spreadsheets/d/11923uPwbBZFjjGgGUA6NLw09EwE0CqkOc4q9oUmW1yo/edit?usp=sharing"",""สุโขทัย!J307"")"),0)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IFERROR(__xludf.DUMMYFUNCTION("IMPORTRANGE(""https://docs.google.com/spreadsheets/d/11923uPwbBZFjjGgGUA6NLw09EwE0CqkOc4q9oUmW1yo/edit?usp=sharing"",""สุโขทัย!J308"")"),1)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IFERROR(__xludf.DUMMYFUNCTION("IMPORTRANGE(""https://docs.google.com/spreadsheets/d/11923uPwbBZFjjGgGUA6NLw09EwE0CqkOc4q9oUmW1yo/edit?usp=sharing"",""สุโขทัย!J309"")"),1)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IFERROR(__xludf.DUMMYFUNCTION("IMPORTRANGE(""https://docs.google.com/spreadsheets/d/11923uPwbBZFjjGgGUA6NLw09EwE0CqkOc4q9oUmW1yo/edit?usp=sharing"",""สุโขทัย!J310"")"),1)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IFERROR(__xludf.DUMMYFUNCTION("IMPORTRANGE(""https://docs.google.com/spreadsheets/d/11923uPwbBZFjjGgGUA6NLw09EwE0CqkOc4q9oUmW1yo/edit?usp=sharing"",""สุโขทัย!I311"")"),95)</f>
        <v>95</v>
      </c>
      <c r="J416" s="210">
        <f ca="1">IFERROR(__xludf.DUMMYFUNCTION("IMPORTRANGE(""https://docs.google.com/spreadsheets/d/11923uPwbBZFjjGgGUA6NLw09EwE0CqkOc4q9oUmW1yo/edit?usp=sharing"",""สุโขทัย!J311"")"),85)</f>
        <v>85</v>
      </c>
      <c r="K416" s="211">
        <f t="shared" ref="K416:K432" ca="1" si="113">IF(I416&gt;0,J416*100/I416,0)</f>
        <v>89.473684210526315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IFERROR(__xludf.DUMMYFUNCTION("IMPORTRANGE(""https://docs.google.com/spreadsheets/d/11923uPwbBZFjjGgGUA6NLw09EwE0CqkOc4q9oUmW1yo/edit?usp=sharing"",""สุโขทัย!I312"")"),10)</f>
        <v>10</v>
      </c>
      <c r="J417" s="400">
        <f ca="1">IFERROR(__xludf.DUMMYFUNCTION("IMPORTRANGE(""https://docs.google.com/spreadsheets/d/11923uPwbBZFjjGgGUA6NLw09EwE0CqkOc4q9oUmW1yo/edit?usp=sharing"",""สุโขทัย!J312"")"),10)</f>
        <v>10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IFERROR(__xludf.DUMMYFUNCTION("IMPORTRANGE(""https://docs.google.com/spreadsheets/d/11923uPwbBZFjjGgGUA6NLw09EwE0CqkOc4q9oUmW1yo/edit?usp=sharing"",""สุโขทัย!I313"")"),30)</f>
        <v>30</v>
      </c>
      <c r="J418" s="401">
        <f ca="1">IFERROR(__xludf.DUMMYFUNCTION("IMPORTRANGE(""https://docs.google.com/spreadsheets/d/11923uPwbBZFjjGgGUA6NLw09EwE0CqkOc4q9oUmW1yo/edit?usp=sharing"",""สุโขทัย!J313"")"),0)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IFERROR(__xludf.DUMMYFUNCTION("IMPORTRANGE(""https://docs.google.com/spreadsheets/d/11923uPwbBZFjjGgGUA6NLw09EwE0CqkOc4q9oUmW1yo/edit?usp=sharing"",""สุโขทัย!I314"")"),10)</f>
        <v>10</v>
      </c>
      <c r="J419" s="402">
        <f ca="1">IFERROR(__xludf.DUMMYFUNCTION("IMPORTRANGE(""https://docs.google.com/spreadsheets/d/11923uPwbBZFjjGgGUA6NLw09EwE0CqkOc4q9oUmW1yo/edit?usp=sharing"",""สุโขทัย!J314"")"),10)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IFERROR(__xludf.DUMMYFUNCTION("IMPORTRANGE(""https://docs.google.com/spreadsheets/d/11923uPwbBZFjjGgGUA6NLw09EwE0CqkOc4q9oUmW1yo/edit?usp=sharing"",""สุโขทัย!I315"")"),10)</f>
        <v>10</v>
      </c>
      <c r="J420" s="402">
        <f ca="1">IFERROR(__xludf.DUMMYFUNCTION("IMPORTRANGE(""https://docs.google.com/spreadsheets/d/11923uPwbBZFjjGgGUA6NLw09EwE0CqkOc4q9oUmW1yo/edit?usp=sharing"",""สุโขทัย!J315"")"),10)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IFERROR(__xludf.DUMMYFUNCTION("IMPORTRANGE(""https://docs.google.com/spreadsheets/d/11923uPwbBZFjjGgGUA6NLw09EwE0CqkOc4q9oUmW1yo/edit?usp=sharing"",""สุโขทัย!I316"")"),75)</f>
        <v>75</v>
      </c>
      <c r="J421" s="400">
        <f ca="1">IFERROR(__xludf.DUMMYFUNCTION("IMPORTRANGE(""https://docs.google.com/spreadsheets/d/11923uPwbBZFjjGgGUA6NLw09EwE0CqkOc4q9oUmW1yo/edit?usp=sharing"",""สุโขทัย!J316"")"),75)</f>
        <v>75</v>
      </c>
      <c r="K421" s="211">
        <f t="shared" ca="1" si="113"/>
        <v>100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IFERROR(__xludf.DUMMYFUNCTION("IMPORTRANGE(""https://docs.google.com/spreadsheets/d/11923uPwbBZFjjGgGUA6NLw09EwE0CqkOc4q9oUmW1yo/edit?usp=sharing"",""สุโขทัย!I317"")"),225)</f>
        <v>225</v>
      </c>
      <c r="J422" s="401">
        <f ca="1">IFERROR(__xludf.DUMMYFUNCTION("IMPORTRANGE(""https://docs.google.com/spreadsheets/d/11923uPwbBZFjjGgGUA6NLw09EwE0CqkOc4q9oUmW1yo/edit?usp=sharing"",""สุโขทัย!J317"")"),0)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IFERROR(__xludf.DUMMYFUNCTION("IMPORTRANGE(""https://docs.google.com/spreadsheets/d/11923uPwbBZFjjGgGUA6NLw09EwE0CqkOc4q9oUmW1yo/edit?usp=sharing"",""สุโขทัย!I318"")"),75)</f>
        <v>75</v>
      </c>
      <c r="J423" s="402">
        <f ca="1">IFERROR(__xludf.DUMMYFUNCTION("IMPORTRANGE(""https://docs.google.com/spreadsheets/d/11923uPwbBZFjjGgGUA6NLw09EwE0CqkOc4q9oUmW1yo/edit?usp=sharing"",""สุโขทัย!J318"")"),75)</f>
        <v>75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IFERROR(__xludf.DUMMYFUNCTION("IMPORTRANGE(""https://docs.google.com/spreadsheets/d/11923uPwbBZFjjGgGUA6NLw09EwE0CqkOc4q9oUmW1yo/edit?usp=sharing"",""สุโขทัย!I319"")"),75)</f>
        <v>75</v>
      </c>
      <c r="J424" s="402">
        <f ca="1">IFERROR(__xludf.DUMMYFUNCTION("IMPORTRANGE(""https://docs.google.com/spreadsheets/d/11923uPwbBZFjjGgGUA6NLw09EwE0CqkOc4q9oUmW1yo/edit?usp=sharing"",""สุโขทัย!J319"")"),75)</f>
        <v>75</v>
      </c>
      <c r="K424" s="171">
        <f t="shared" ca="1" si="113"/>
        <v>100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IFERROR(__xludf.DUMMYFUNCTION("IMPORTRANGE(""https://docs.google.com/spreadsheets/d/11923uPwbBZFjjGgGUA6NLw09EwE0CqkOc4q9oUmW1yo/edit?usp=sharing"",""สุโขทัย!I320"")"),75)</f>
        <v>75</v>
      </c>
      <c r="J425" s="402">
        <f ca="1">IFERROR(__xludf.DUMMYFUNCTION("IMPORTRANGE(""https://docs.google.com/spreadsheets/d/11923uPwbBZFjjGgGUA6NLw09EwE0CqkOc4q9oUmW1yo/edit?usp=sharing"",""สุโขทัย!J320"")"),75)</f>
        <v>75</v>
      </c>
      <c r="K425" s="171">
        <f t="shared" ca="1" si="113"/>
        <v>100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IFERROR(__xludf.DUMMYFUNCTION("IMPORTRANGE(""https://docs.google.com/spreadsheets/d/11923uPwbBZFjjGgGUA6NLw09EwE0CqkOc4q9oUmW1yo/edit?usp=sharing"",""สุโขทัย!I321"")"),10)</f>
        <v>10</v>
      </c>
      <c r="J426" s="400">
        <f ca="1">IFERROR(__xludf.DUMMYFUNCTION("IMPORTRANGE(""https://docs.google.com/spreadsheets/d/11923uPwbBZFjjGgGUA6NLw09EwE0CqkOc4q9oUmW1yo/edit?usp=sharing"",""สุโขทัย!J321"")"),0)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IFERROR(__xludf.DUMMYFUNCTION("IMPORTRANGE(""https://docs.google.com/spreadsheets/d/11923uPwbBZFjjGgGUA6NLw09EwE0CqkOc4q9oUmW1yo/edit?usp=sharing"",""สุโขทัย!I322"")"),30)</f>
        <v>30</v>
      </c>
      <c r="J427" s="401">
        <f ca="1">IFERROR(__xludf.DUMMYFUNCTION("IMPORTRANGE(""https://docs.google.com/spreadsheets/d/11923uPwbBZFjjGgGUA6NLw09EwE0CqkOc4q9oUmW1yo/edit?usp=sharing"",""สุโขทัย!J322"")"),0)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IFERROR(__xludf.DUMMYFUNCTION("IMPORTRANGE(""https://docs.google.com/spreadsheets/d/11923uPwbBZFjjGgGUA6NLw09EwE0CqkOc4q9oUmW1yo/edit?usp=sharing"",""สุโขทัย!I323"")"),10)</f>
        <v>10</v>
      </c>
      <c r="J428" s="402">
        <f ca="1">IFERROR(__xludf.DUMMYFUNCTION("IMPORTRANGE(""https://docs.google.com/spreadsheets/d/11923uPwbBZFjjGgGUA6NLw09EwE0CqkOc4q9oUmW1yo/edit?usp=sharing"",""สุโขทัย!J323"")"),0)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IFERROR(__xludf.DUMMYFUNCTION("IMPORTRANGE(""https://docs.google.com/spreadsheets/d/11923uPwbBZFjjGgGUA6NLw09EwE0CqkOc4q9oUmW1yo/edit?usp=sharing"",""สุโขทัย!I324"")"),10)</f>
        <v>10</v>
      </c>
      <c r="J429" s="402">
        <f ca="1">IFERROR(__xludf.DUMMYFUNCTION("IMPORTRANGE(""https://docs.google.com/spreadsheets/d/11923uPwbBZFjjGgGUA6NLw09EwE0CqkOc4q9oUmW1yo/edit?usp=sharing"",""สุโขทัย!J324"")"),0)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IFERROR(__xludf.DUMMYFUNCTION("IMPORTRANGE(""https://docs.google.com/spreadsheets/d/11923uPwbBZFjjGgGUA6NLw09EwE0CqkOc4q9oUmW1yo/edit?usp=sharing"",""สุโขทัย!I325"")"),85)</f>
        <v>85</v>
      </c>
      <c r="J430" s="400">
        <f ca="1">IFERROR(__xludf.DUMMYFUNCTION("IMPORTRANGE(""https://docs.google.com/spreadsheets/d/11923uPwbBZFjjGgGUA6NLw09EwE0CqkOc4q9oUmW1yo/edit?usp=sharing"",""สุโขทัย!J325"")"),0)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IFERROR(__xludf.DUMMYFUNCTION("IMPORTRANGE(""https://docs.google.com/spreadsheets/d/11923uPwbBZFjjGgGUA6NLw09EwE0CqkOc4q9oUmW1yo/edit?usp=sharing"",""สุโขทัย!I326"")"),10)</f>
        <v>10</v>
      </c>
      <c r="J431" s="402">
        <f ca="1">IFERROR(__xludf.DUMMYFUNCTION("IMPORTRANGE(""https://docs.google.com/spreadsheets/d/11923uPwbBZFjjGgGUA6NLw09EwE0CqkOc4q9oUmW1yo/edit?usp=sharing"",""สุโขทัย!J326"")"),0)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IFERROR(__xludf.DUMMYFUNCTION("IMPORTRANGE(""https://docs.google.com/spreadsheets/d/11923uPwbBZFjjGgGUA6NLw09EwE0CqkOc4q9oUmW1yo/edit?usp=sharing"",""สุโขทัย!I327"")"),75)</f>
        <v>75</v>
      </c>
      <c r="J432" s="402">
        <f ca="1">IFERROR(__xludf.DUMMYFUNCTION("IMPORTRANGE(""https://docs.google.com/spreadsheets/d/11923uPwbBZFjjGgGUA6NLw09EwE0CqkOc4q9oUmW1yo/edit?usp=sharing"",""สุโขทัย!J327"")"),0)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IFERROR(__xludf.DUMMYFUNCTION("IMPORTRANGE(""https://docs.google.com/spreadsheets/d/11923uPwbBZFjjGgGUA6NLw09EwE0CqkOc4q9oUmW1yo/edit?usp=sharing"",""สุโขทัย!J328"")"),0)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IFERROR(__xludf.DUMMYFUNCTION("IMPORTRANGE(""https://docs.google.com/spreadsheets/d/11923uPwbBZFjjGgGUA6NLw09EwE0CqkOc4q9oUmW1yo/edit?usp=sharing"",""สุโขทัย!J329"")"),0)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IFERROR(__xludf.DUMMYFUNCTION("IMPORTRANGE(""https://docs.google.com/spreadsheets/d/11923uPwbBZFjjGgGUA6NLw09EwE0CqkOc4q9oUmW1yo/edit?usp=sharing"",""สุโขทัย!I330"")"),81)</f>
        <v>81</v>
      </c>
      <c r="J435" s="418">
        <f ca="1">IFERROR(__xludf.DUMMYFUNCTION("IMPORTRANGE(""https://docs.google.com/spreadsheets/d/11923uPwbBZFjjGgGUA6NLw09EwE0CqkOc4q9oUmW1yo/edit?usp=sharing"",""สุโขทัย!J330"")"),41)</f>
        <v>41</v>
      </c>
      <c r="K435" s="419">
        <f ca="1">IF(I435&gt;0,J435*100/I435,0)</f>
        <v>50.617283950617285</v>
      </c>
      <c r="L435" s="420">
        <f ca="1">IFERROR(__xludf.DUMMYFUNCTION("IMPORTRANGE(""https://docs.google.com/spreadsheets/d/11923uPwbBZFjjGgGUA6NLw09EwE0CqkOc4q9oUmW1yo/edit?usp=sharing"",""สุโขทัย!L330"")"),218000)</f>
        <v>218000</v>
      </c>
      <c r="M435" s="420"/>
      <c r="N435" s="420">
        <f ca="1">IFERROR(__xludf.DUMMYFUNCTION("IMPORTRANGE(""https://docs.google.com/spreadsheets/d/11923uPwbBZFjjGgGUA6NLw09EwE0CqkOc4q9oUmW1yo/edit?usp=sharing"",""สุโขทัย!M330"")"),93575)</f>
        <v>93575</v>
      </c>
      <c r="O435" s="420">
        <f t="shared" ref="O435:O439" ca="1" si="114">+IF(L435&gt;0,N435*100/L435,0)</f>
        <v>42.924311926605505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IFERROR(__xludf.DUMMYFUNCTION("IMPORTRANGE(""https://docs.google.com/spreadsheets/d/11923uPwbBZFjjGgGUA6NLw09EwE0CqkOc4q9oUmW1yo/edit?usp=sharing"",""สุโขทัย!L331"")"),0)</f>
        <v>0</v>
      </c>
      <c r="M436" s="172"/>
      <c r="N436" s="178">
        <f ca="1">IFERROR(__xludf.DUMMYFUNCTION("IMPORTRANGE(""https://docs.google.com/spreadsheets/d/11923uPwbBZFjjGgGUA6NLw09EwE0CqkOc4q9oUmW1yo/edit?usp=sharing"",""สุโขทัย!M331"")"),0)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IFERROR(__xludf.DUMMYFUNCTION("IMPORTRANGE(""https://docs.google.com/spreadsheets/d/11923uPwbBZFjjGgGUA6NLw09EwE0CqkOc4q9oUmW1yo/edit?usp=sharing"",""สุโขทัย!L332"")"),218000)</f>
        <v>218000</v>
      </c>
      <c r="M437" s="173"/>
      <c r="N437" s="178">
        <f ca="1">IFERROR(__xludf.DUMMYFUNCTION("IMPORTRANGE(""https://docs.google.com/spreadsheets/d/11923uPwbBZFjjGgGUA6NLw09EwE0CqkOc4q9oUmW1yo/edit?usp=sharing"",""สุโขทัย!M332"")"),93575)</f>
        <v>93575</v>
      </c>
      <c r="O437" s="178">
        <f t="shared" ca="1" si="114"/>
        <v>42.924311926605505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IFERROR(__xludf.DUMMYFUNCTION("IMPORTRANGE(""https://docs.google.com/spreadsheets/d/11923uPwbBZFjjGgGUA6NLw09EwE0CqkOc4q9oUmW1yo/edit?usp=sharing"",""สุโขทัย!L333"")"),0)</f>
        <v>0</v>
      </c>
      <c r="M438" s="178"/>
      <c r="N438" s="178">
        <f ca="1">IFERROR(__xludf.DUMMYFUNCTION("IMPORTRANGE(""https://docs.google.com/spreadsheets/d/11923uPwbBZFjjGgGUA6NLw09EwE0CqkOc4q9oUmW1yo/edit?usp=sharing"",""สุโขทัย!M333"")"),0)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IFERROR(__xludf.DUMMYFUNCTION("IMPORTRANGE(""https://docs.google.com/spreadsheets/d/11923uPwbBZFjjGgGUA6NLw09EwE0CqkOc4q9oUmW1yo/edit?usp=sharing"",""สุโขทัย!L334"")"),218000)</f>
        <v>218000</v>
      </c>
      <c r="M439" s="178"/>
      <c r="N439" s="178">
        <f ca="1">IFERROR(__xludf.DUMMYFUNCTION("IMPORTRANGE(""https://docs.google.com/spreadsheets/d/11923uPwbBZFjjGgGUA6NLw09EwE0CqkOc4q9oUmW1yo/edit?usp=sharing"",""สุโขทัย!M334"")"),93575)</f>
        <v>93575</v>
      </c>
      <c r="O439" s="178">
        <f t="shared" ca="1" si="114"/>
        <v>42.924311926605505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IFERROR(__xludf.DUMMYFUNCTION("IMPORTRANGE(""https://docs.google.com/spreadsheets/d/11923uPwbBZFjjGgGUA6NLw09EwE0CqkOc4q9oUmW1yo/edit?usp=sharing"",""สุโขทัย!M335"")"),93230)</f>
        <v>93230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IFERROR(__xludf.DUMMYFUNCTION("IMPORTRANGE(""https://docs.google.com/spreadsheets/d/11923uPwbBZFjjGgGUA6NLw09EwE0CqkOc4q9oUmW1yo/edit?usp=sharing"",""สุโขทัย!M336"")"),0)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IFERROR(__xludf.DUMMYFUNCTION("IMPORTRANGE(""https://docs.google.com/spreadsheets/d/11923uPwbBZFjjGgGUA6NLw09EwE0CqkOc4q9oUmW1yo/edit?usp=sharing"",""สุโขทัย!M337"")"),0)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IFERROR(__xludf.DUMMYFUNCTION("IMPORTRANGE(""https://docs.google.com/spreadsheets/d/11923uPwbBZFjjGgGUA6NLw09EwE0CqkOc4q9oUmW1yo/edit?usp=sharing"",""สุโขทัย!M338"")"),345)</f>
        <v>345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IFERROR(__xludf.DUMMYFUNCTION("IMPORTRANGE(""https://docs.google.com/spreadsheets/d/11923uPwbBZFjjGgGUA6NLw09EwE0CqkOc4q9oUmW1yo/edit?usp=sharing"",""สุโขทัย!J340"")"),0)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IFERROR(__xludf.DUMMYFUNCTION("IMPORTRANGE(""https://docs.google.com/spreadsheets/d/11923uPwbBZFjjGgGUA6NLw09EwE0CqkOc4q9oUmW1yo/edit?usp=sharing"",""สุโขทัย!J341"")"),1)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IFERROR(__xludf.DUMMYFUNCTION("IMPORTRANGE(""https://docs.google.com/spreadsheets/d/11923uPwbBZFjjGgGUA6NLw09EwE0CqkOc4q9oUmW1yo/edit?usp=sharing"",""สุโขทัย!J342"")"),1)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IFERROR(__xludf.DUMMYFUNCTION("IMPORTRANGE(""https://docs.google.com/spreadsheets/d/11923uPwbBZFjjGgGUA6NLw09EwE0CqkOc4q9oUmW1yo/edit?usp=sharing"",""สุโขทัย!J343"")"),1)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IFERROR(__xludf.DUMMYFUNCTION("IMPORTRANGE(""https://docs.google.com/spreadsheets/d/11923uPwbBZFjjGgGUA6NLw09EwE0CqkOc4q9oUmW1yo/edit?usp=sharing"",""สุโขทัย!I344"")"),81)</f>
        <v>81</v>
      </c>
      <c r="J449" s="210">
        <f ca="1">IFERROR(__xludf.DUMMYFUNCTION("IMPORTRANGE(""https://docs.google.com/spreadsheets/d/11923uPwbBZFjjGgGUA6NLw09EwE0CqkOc4q9oUmW1yo/edit?usp=sharing"",""สุโขทัย!J344"")"),41)</f>
        <v>41</v>
      </c>
      <c r="K449" s="171">
        <f t="shared" ref="K449:K452" ca="1" si="115">IF(I449&gt;0,J449*100/I449,0)</f>
        <v>50.617283950617285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IFERROR(__xludf.DUMMYFUNCTION("IMPORTRANGE(""https://docs.google.com/spreadsheets/d/11923uPwbBZFjjGgGUA6NLw09EwE0CqkOc4q9oUmW1yo/edit?usp=sharing"",""สุโขทัย!I345"")"),22)</f>
        <v>22</v>
      </c>
      <c r="J450" s="198">
        <f ca="1">IFERROR(__xludf.DUMMYFUNCTION("IMPORTRANGE(""https://docs.google.com/spreadsheets/d/11923uPwbBZFjjGgGUA6NLw09EwE0CqkOc4q9oUmW1yo/edit?usp=sharing"",""สุโขทัย!J345"")"),22)</f>
        <v>22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IFERROR(__xludf.DUMMYFUNCTION("IMPORTRANGE(""https://docs.google.com/spreadsheets/d/11923uPwbBZFjjGgGUA6NLw09EwE0CqkOc4q9oUmW1yo/edit?usp=sharing"",""สุโขทัย!I346"")"),59)</f>
        <v>59</v>
      </c>
      <c r="J451" s="197">
        <f ca="1">IFERROR(__xludf.DUMMYFUNCTION("IMPORTRANGE(""https://docs.google.com/spreadsheets/d/11923uPwbBZFjjGgGUA6NLw09EwE0CqkOc4q9oUmW1yo/edit?usp=sharing"",""สุโขทัย!J346"")"),19)</f>
        <v>19</v>
      </c>
      <c r="K451" s="171">
        <f t="shared" ca="1" si="115"/>
        <v>32.203389830508478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IFERROR(__xludf.DUMMYFUNCTION("IMPORTRANGE(""https://docs.google.com/spreadsheets/d/11923uPwbBZFjjGgGUA6NLw09EwE0CqkOc4q9oUmW1yo/edit?usp=sharing"",""สุโขทัย!I347"")"),0)</f>
        <v>0</v>
      </c>
      <c r="J452" s="197">
        <f ca="1">IFERROR(__xludf.DUMMYFUNCTION("IMPORTRANGE(""https://docs.google.com/spreadsheets/d/11923uPwbBZFjjGgGUA6NLw09EwE0CqkOc4q9oUmW1yo/edit?usp=sharing"",""สุโขทัย!J347"")"),0)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IFERROR(__xludf.DUMMYFUNCTION("IMPORTRANGE(""https://docs.google.com/spreadsheets/d/11923uPwbBZFjjGgGUA6NLw09EwE0CqkOc4q9oUmW1yo/edit?usp=sharing"",""สุโขทัย!J348"")"),0)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IFERROR(__xludf.DUMMYFUNCTION("IMPORTRANGE(""https://docs.google.com/spreadsheets/d/11923uPwbBZFjjGgGUA6NLw09EwE0CqkOc4q9oUmW1yo/edit?usp=sharing"",""สุโขทัย!J349"")"),0)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IFERROR(__xludf.DUMMYFUNCTION("IMPORTRANGE(""https://docs.google.com/spreadsheets/d/11923uPwbBZFjjGgGUA6NLw09EwE0CqkOc4q9oUmW1yo/edit?usp=sharing"",""สุโขทัย!I350"")"),33673)</f>
        <v>33673</v>
      </c>
      <c r="J455" s="379">
        <f ca="1">IFERROR(__xludf.DUMMYFUNCTION("IMPORTRANGE(""https://docs.google.com/spreadsheets/d/11923uPwbBZFjjGgGUA6NLw09EwE0CqkOc4q9oUmW1yo/edit?usp=sharing"",""สุโขทัย!J350"")"),0)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IFERROR(__xludf.DUMMYFUNCTION("IMPORTRANGE(""https://docs.google.com/spreadsheets/d/11923uPwbBZFjjGgGUA6NLw09EwE0CqkOc4q9oUmW1yo/edit?usp=sharing"",""สุโขทัย!L350"")"),382323)</f>
        <v>382323</v>
      </c>
      <c r="M455" s="381"/>
      <c r="N455" s="381">
        <f ca="1">IFERROR(__xludf.DUMMYFUNCTION("IMPORTRANGE(""https://docs.google.com/spreadsheets/d/11923uPwbBZFjjGgGUA6NLw09EwE0CqkOc4q9oUmW1yo/edit?usp=sharing"",""สุโขทัย!M350"")"),39920)</f>
        <v>39920</v>
      </c>
      <c r="O455" s="381">
        <f t="shared" ref="O455:O459" ca="1" si="116">+IF(L455&gt;0,N455*100/L455,0)</f>
        <v>10.441433029140281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IFERROR(__xludf.DUMMYFUNCTION("IMPORTRANGE(""https://docs.google.com/spreadsheets/d/11923uPwbBZFjjGgGUA6NLw09EwE0CqkOc4q9oUmW1yo/edit?usp=sharing"",""สุโขทัย!L351"")"),0)</f>
        <v>0</v>
      </c>
      <c r="M456" s="172"/>
      <c r="N456" s="178">
        <f ca="1">IFERROR(__xludf.DUMMYFUNCTION("IMPORTRANGE(""https://docs.google.com/spreadsheets/d/11923uPwbBZFjjGgGUA6NLw09EwE0CqkOc4q9oUmW1yo/edit?usp=sharing"",""สุโขทัย!M351"")"),0)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IFERROR(__xludf.DUMMYFUNCTION("IMPORTRANGE(""https://docs.google.com/spreadsheets/d/11923uPwbBZFjjGgGUA6NLw09EwE0CqkOc4q9oUmW1yo/edit?usp=sharing"",""สุโขทัย!L352"")"),382323)</f>
        <v>382323</v>
      </c>
      <c r="M457" s="173"/>
      <c r="N457" s="178">
        <f ca="1">IFERROR(__xludf.DUMMYFUNCTION("IMPORTRANGE(""https://docs.google.com/spreadsheets/d/11923uPwbBZFjjGgGUA6NLw09EwE0CqkOc4q9oUmW1yo/edit?usp=sharing"",""สุโขทัย!M352"")"),39920)</f>
        <v>39920</v>
      </c>
      <c r="O457" s="178">
        <f t="shared" ca="1" si="116"/>
        <v>10.441433029140281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IFERROR(__xludf.DUMMYFUNCTION("IMPORTRANGE(""https://docs.google.com/spreadsheets/d/11923uPwbBZFjjGgGUA6NLw09EwE0CqkOc4q9oUmW1yo/edit?usp=sharing"",""สุโขทัย!L353"")"),0)</f>
        <v>0</v>
      </c>
      <c r="M458" s="178"/>
      <c r="N458" s="178">
        <f ca="1">IFERROR(__xludf.DUMMYFUNCTION("IMPORTRANGE(""https://docs.google.com/spreadsheets/d/11923uPwbBZFjjGgGUA6NLw09EwE0CqkOc4q9oUmW1yo/edit?usp=sharing"",""สุโขทัย!M353"")"),0)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IFERROR(__xludf.DUMMYFUNCTION("IMPORTRANGE(""https://docs.google.com/spreadsheets/d/11923uPwbBZFjjGgGUA6NLw09EwE0CqkOc4q9oUmW1yo/edit?usp=sharing"",""สุโขทัย!L354"")"),382323)</f>
        <v>382323</v>
      </c>
      <c r="M459" s="178"/>
      <c r="N459" s="178">
        <f ca="1">IFERROR(__xludf.DUMMYFUNCTION("IMPORTRANGE(""https://docs.google.com/spreadsheets/d/11923uPwbBZFjjGgGUA6NLw09EwE0CqkOc4q9oUmW1yo/edit?usp=sharing"",""สุโขทัย!M354"")"),39920)</f>
        <v>39920</v>
      </c>
      <c r="O459" s="178">
        <f t="shared" ca="1" si="116"/>
        <v>10.441433029140281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IFERROR(__xludf.DUMMYFUNCTION("IMPORTRANGE(""https://docs.google.com/spreadsheets/d/11923uPwbBZFjjGgGUA6NLw09EwE0CqkOc4q9oUmW1yo/edit?usp=sharing"",""สุโขทัย!M355"")"),0)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IFERROR(__xludf.DUMMYFUNCTION("IMPORTRANGE(""https://docs.google.com/spreadsheets/d/11923uPwbBZFjjGgGUA6NLw09EwE0CqkOc4q9oUmW1yo/edit?usp=sharing"",""สุโขทัย!M356"")"),0)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IFERROR(__xludf.DUMMYFUNCTION("IMPORTRANGE(""https://docs.google.com/spreadsheets/d/11923uPwbBZFjjGgGUA6NLw09EwE0CqkOc4q9oUmW1yo/edit?usp=sharing"",""สุโขทัย!M357"")"),22000)</f>
        <v>22000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IFERROR(__xludf.DUMMYFUNCTION("IMPORTRANGE(""https://docs.google.com/spreadsheets/d/11923uPwbBZFjjGgGUA6NLw09EwE0CqkOc4q9oUmW1yo/edit?usp=sharing"",""สุโขทัย!M358"")"),17920)</f>
        <v>17920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IFERROR(__xludf.DUMMYFUNCTION("IMPORTRANGE(""https://docs.google.com/spreadsheets/d/11923uPwbBZFjjGgGUA6NLw09EwE0CqkOc4q9oUmW1yo/edit?usp=sharing"",""สุโขทัย!I359"")"),33673)</f>
        <v>33673</v>
      </c>
      <c r="J464" s="276">
        <f ca="1">IFERROR(__xludf.DUMMYFUNCTION("IMPORTRANGE(""https://docs.google.com/spreadsheets/d/11923uPwbBZFjjGgGUA6NLw09EwE0CqkOc4q9oUmW1yo/edit?usp=sharing"",""สุโขทัย!J359"")"),0)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IFERROR(__xludf.DUMMYFUNCTION("IMPORTRANGE(""https://docs.google.com/spreadsheets/d/11923uPwbBZFjjGgGUA6NLw09EwE0CqkOc4q9oUmW1yo/edit?usp=sharing"",""สุโขทัย!I360"")"),33673)</f>
        <v>33673</v>
      </c>
      <c r="J465" s="428">
        <f ca="1">IFERROR(__xludf.DUMMYFUNCTION("IMPORTRANGE(""https://docs.google.com/spreadsheets/d/11923uPwbBZFjjGgGUA6NLw09EwE0CqkOc4q9oUmW1yo/edit?usp=sharing"",""สุโขทัย!J360"")"),11813)</f>
        <v>11813</v>
      </c>
      <c r="K465" s="211">
        <f t="shared" ca="1" si="117"/>
        <v>35.081519318148068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IFERROR(__xludf.DUMMYFUNCTION("IMPORTRANGE(""https://docs.google.com/spreadsheets/d/11923uPwbBZFjjGgGUA6NLw09EwE0CqkOc4q9oUmW1yo/edit?usp=sharing"",""สุโขทัย!I361"")"),4578)</f>
        <v>4578</v>
      </c>
      <c r="J466" s="428">
        <f ca="1">IFERROR(__xludf.DUMMYFUNCTION("IMPORTRANGE(""https://docs.google.com/spreadsheets/d/11923uPwbBZFjjGgGUA6NLw09EwE0CqkOc4q9oUmW1yo/edit?usp=sharing"",""สุโขทัย!J361"")"),1251)</f>
        <v>1251</v>
      </c>
      <c r="K466" s="211">
        <f t="shared" ca="1" si="117"/>
        <v>27.326343381389254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IFERROR(__xludf.DUMMYFUNCTION("IMPORTRANGE(""https://docs.google.com/spreadsheets/d/11923uPwbBZFjjGgGUA6NLw09EwE0CqkOc4q9oUmW1yo/edit?usp=sharing"",""สุโขทัย!I362"")"),0)</f>
        <v>0</v>
      </c>
      <c r="J467" s="198">
        <f ca="1">IFERROR(__xludf.DUMMYFUNCTION("IMPORTRANGE(""https://docs.google.com/spreadsheets/d/11923uPwbBZFjjGgGUA6NLw09EwE0CqkOc4q9oUmW1yo/edit?usp=sharing"",""สุโขทัย!J362"")"),7579)</f>
        <v>7579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IFERROR(__xludf.DUMMYFUNCTION("IMPORTRANGE(""https://docs.google.com/spreadsheets/d/11923uPwbBZFjjGgGUA6NLw09EwE0CqkOc4q9oUmW1yo/edit?usp=sharing"",""สุโขทัย!I363"")"),0)</f>
        <v>0</v>
      </c>
      <c r="J468" s="198">
        <f ca="1">IFERROR(__xludf.DUMMYFUNCTION("IMPORTRANGE(""https://docs.google.com/spreadsheets/d/11923uPwbBZFjjGgGUA6NLw09EwE0CqkOc4q9oUmW1yo/edit?usp=sharing"",""สุโขทัย!J363"")"),853)</f>
        <v>853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IFERROR(__xludf.DUMMYFUNCTION("IMPORTRANGE(""https://docs.google.com/spreadsheets/d/11923uPwbBZFjjGgGUA6NLw09EwE0CqkOc4q9oUmW1yo/edit?usp=sharing"",""สุโขทัย!I364"")"),0)</f>
        <v>0</v>
      </c>
      <c r="J469" s="198">
        <f ca="1">IFERROR(__xludf.DUMMYFUNCTION("IMPORTRANGE(""https://docs.google.com/spreadsheets/d/11923uPwbBZFjjGgGUA6NLw09EwE0CqkOc4q9oUmW1yo/edit?usp=sharing"",""สุโขทัย!J364"")"),3998)</f>
        <v>3998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IFERROR(__xludf.DUMMYFUNCTION("IMPORTRANGE(""https://docs.google.com/spreadsheets/d/11923uPwbBZFjjGgGUA6NLw09EwE0CqkOc4q9oUmW1yo/edit?usp=sharing"",""สุโขทัย!I365"")"),0)</f>
        <v>0</v>
      </c>
      <c r="J470" s="198">
        <f ca="1">IFERROR(__xludf.DUMMYFUNCTION("IMPORTRANGE(""https://docs.google.com/spreadsheets/d/11923uPwbBZFjjGgGUA6NLw09EwE0CqkOc4q9oUmW1yo/edit?usp=sharing"",""สุโขทัย!J365"")"),368)</f>
        <v>368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IFERROR(__xludf.DUMMYFUNCTION("IMPORTRANGE(""https://docs.google.com/spreadsheets/d/11923uPwbBZFjjGgGUA6NLw09EwE0CqkOc4q9oUmW1yo/edit?usp=sharing"",""สุโขทัย!I366"")"),0)</f>
        <v>0</v>
      </c>
      <c r="J471" s="198">
        <f ca="1">IFERROR(__xludf.DUMMYFUNCTION("IMPORTRANGE(""https://docs.google.com/spreadsheets/d/11923uPwbBZFjjGgGUA6NLw09EwE0CqkOc4q9oUmW1yo/edit?usp=sharing"",""สุโขทัย!J366"")"),236)</f>
        <v>236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IFERROR(__xludf.DUMMYFUNCTION("IMPORTRANGE(""https://docs.google.com/spreadsheets/d/11923uPwbBZFjjGgGUA6NLw09EwE0CqkOc4q9oUmW1yo/edit?usp=sharing"",""สุโขทัย!I367"")"),0)</f>
        <v>0</v>
      </c>
      <c r="J472" s="198">
        <f ca="1">IFERROR(__xludf.DUMMYFUNCTION("IMPORTRANGE(""https://docs.google.com/spreadsheets/d/11923uPwbBZFjjGgGUA6NLw09EwE0CqkOc4q9oUmW1yo/edit?usp=sharing"",""สุโขทัย!J367"")"),30)</f>
        <v>30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IFERROR(__xludf.DUMMYFUNCTION("IMPORTRANGE(""https://docs.google.com/spreadsheets/d/11923uPwbBZFjjGgGUA6NLw09EwE0CqkOc4q9oUmW1yo/edit?usp=sharing"",""สุโขทัย!I368"")"),33673)</f>
        <v>33673</v>
      </c>
      <c r="J473" s="428">
        <f ca="1">IFERROR(__xludf.DUMMYFUNCTION("IMPORTRANGE(""https://docs.google.com/spreadsheets/d/11923uPwbBZFjjGgGUA6NLw09EwE0CqkOc4q9oUmW1yo/edit?usp=sharing"",""สุโขทัย!J368"")"),0)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IFERROR(__xludf.DUMMYFUNCTION("IMPORTRANGE(""https://docs.google.com/spreadsheets/d/11923uPwbBZFjjGgGUA6NLw09EwE0CqkOc4q9oUmW1yo/edit?usp=sharing"",""สุโขทัย!I369"")"),4578)</f>
        <v>4578</v>
      </c>
      <c r="J474" s="428">
        <f ca="1">IFERROR(__xludf.DUMMYFUNCTION("IMPORTRANGE(""https://docs.google.com/spreadsheets/d/11923uPwbBZFjjGgGUA6NLw09EwE0CqkOc4q9oUmW1yo/edit?usp=sharing"",""สุโขทัย!J369"")"),0)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IFERROR(__xludf.DUMMYFUNCTION("IMPORTRANGE(""https://docs.google.com/spreadsheets/d/11923uPwbBZFjjGgGUA6NLw09EwE0CqkOc4q9oUmW1yo/edit?usp=sharing"",""สุโขทัย!I370"")"),0)</f>
        <v>0</v>
      </c>
      <c r="J475" s="198">
        <f ca="1">IFERROR(__xludf.DUMMYFUNCTION("IMPORTRANGE(""https://docs.google.com/spreadsheets/d/11923uPwbBZFjjGgGUA6NLw09EwE0CqkOc4q9oUmW1yo/edit?usp=sharing"",""สุโขทัย!J370"")"),0)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IFERROR(__xludf.DUMMYFUNCTION("IMPORTRANGE(""https://docs.google.com/spreadsheets/d/11923uPwbBZFjjGgGUA6NLw09EwE0CqkOc4q9oUmW1yo/edit?usp=sharing"",""สุโขทัย!I371"")"),0)</f>
        <v>0</v>
      </c>
      <c r="J476" s="198">
        <f ca="1">IFERROR(__xludf.DUMMYFUNCTION("IMPORTRANGE(""https://docs.google.com/spreadsheets/d/11923uPwbBZFjjGgGUA6NLw09EwE0CqkOc4q9oUmW1yo/edit?usp=sharing"",""สุโขทัย!J371"")"),0)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IFERROR(__xludf.DUMMYFUNCTION("IMPORTRANGE(""https://docs.google.com/spreadsheets/d/11923uPwbBZFjjGgGUA6NLw09EwE0CqkOc4q9oUmW1yo/edit?usp=sharing"",""สุโขทัย!I372"")"),0)</f>
        <v>0</v>
      </c>
      <c r="J477" s="198">
        <f ca="1">IFERROR(__xludf.DUMMYFUNCTION("IMPORTRANGE(""https://docs.google.com/spreadsheets/d/11923uPwbBZFjjGgGUA6NLw09EwE0CqkOc4q9oUmW1yo/edit?usp=sharing"",""สุโขทัย!J372"")"),0)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IFERROR(__xludf.DUMMYFUNCTION("IMPORTRANGE(""https://docs.google.com/spreadsheets/d/11923uPwbBZFjjGgGUA6NLw09EwE0CqkOc4q9oUmW1yo/edit?usp=sharing"",""สุโขทัย!I373"")"),0)</f>
        <v>0</v>
      </c>
      <c r="J478" s="198">
        <f ca="1">IFERROR(__xludf.DUMMYFUNCTION("IMPORTRANGE(""https://docs.google.com/spreadsheets/d/11923uPwbBZFjjGgGUA6NLw09EwE0CqkOc4q9oUmW1yo/edit?usp=sharing"",""สุโขทัย!J373"")"),0)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IFERROR(__xludf.DUMMYFUNCTION("IMPORTRANGE(""https://docs.google.com/spreadsheets/d/11923uPwbBZFjjGgGUA6NLw09EwE0CqkOc4q9oUmW1yo/edit?usp=sharing"",""สุโขทัย!I374"")"),0)</f>
        <v>0</v>
      </c>
      <c r="J479" s="198">
        <f ca="1">IFERROR(__xludf.DUMMYFUNCTION("IMPORTRANGE(""https://docs.google.com/spreadsheets/d/11923uPwbBZFjjGgGUA6NLw09EwE0CqkOc4q9oUmW1yo/edit?usp=sharing"",""สุโขทัย!J374"")"),0)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IFERROR(__xludf.DUMMYFUNCTION("IMPORTRANGE(""https://docs.google.com/spreadsheets/d/11923uPwbBZFjjGgGUA6NLw09EwE0CqkOc4q9oUmW1yo/edit?usp=sharing"",""สุโขทัย!I375"")"),0)</f>
        <v>0</v>
      </c>
      <c r="J480" s="198">
        <f ca="1">IFERROR(__xludf.DUMMYFUNCTION("IMPORTRANGE(""https://docs.google.com/spreadsheets/d/11923uPwbBZFjjGgGUA6NLw09EwE0CqkOc4q9oUmW1yo/edit?usp=sharing"",""สุโขทัย!J375"")"),0)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IFERROR(__xludf.DUMMYFUNCTION("IMPORTRANGE(""https://docs.google.com/spreadsheets/d/11923uPwbBZFjjGgGUA6NLw09EwE0CqkOc4q9oUmW1yo/edit?usp=sharing"",""สุโขทัย!I376"")"),33673)</f>
        <v>33673</v>
      </c>
      <c r="J481" s="428">
        <f ca="1">IFERROR(__xludf.DUMMYFUNCTION("IMPORTRANGE(""https://docs.google.com/spreadsheets/d/11923uPwbBZFjjGgGUA6NLw09EwE0CqkOc4q9oUmW1yo/edit?usp=sharing"",""สุโขทัย!J376"")"),0)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IFERROR(__xludf.DUMMYFUNCTION("IMPORTRANGE(""https://docs.google.com/spreadsheets/d/11923uPwbBZFjjGgGUA6NLw09EwE0CqkOc4q9oUmW1yo/edit?usp=sharing"",""สุโขทัย!I377"")"),4578)</f>
        <v>4578</v>
      </c>
      <c r="J482" s="428">
        <f ca="1">IFERROR(__xludf.DUMMYFUNCTION("IMPORTRANGE(""https://docs.google.com/spreadsheets/d/11923uPwbBZFjjGgGUA6NLw09EwE0CqkOc4q9oUmW1yo/edit?usp=sharing"",""สุโขทัย!J377"")"),0)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IFERROR(__xludf.DUMMYFUNCTION("IMPORTRANGE(""https://docs.google.com/spreadsheets/d/11923uPwbBZFjjGgGUA6NLw09EwE0CqkOc4q9oUmW1yo/edit?usp=sharing"",""สุโขทัย!I378"")"),0)</f>
        <v>0</v>
      </c>
      <c r="J483" s="198">
        <f ca="1">IFERROR(__xludf.DUMMYFUNCTION("IMPORTRANGE(""https://docs.google.com/spreadsheets/d/11923uPwbBZFjjGgGUA6NLw09EwE0CqkOc4q9oUmW1yo/edit?usp=sharing"",""สุโขทัย!J378"")"),0)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IFERROR(__xludf.DUMMYFUNCTION("IMPORTRANGE(""https://docs.google.com/spreadsheets/d/11923uPwbBZFjjGgGUA6NLw09EwE0CqkOc4q9oUmW1yo/edit?usp=sharing"",""สุโขทัย!I379"")"),0)</f>
        <v>0</v>
      </c>
      <c r="J484" s="198">
        <f ca="1">IFERROR(__xludf.DUMMYFUNCTION("IMPORTRANGE(""https://docs.google.com/spreadsheets/d/11923uPwbBZFjjGgGUA6NLw09EwE0CqkOc4q9oUmW1yo/edit?usp=sharing"",""สุโขทัย!J379"")"),0)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IFERROR(__xludf.DUMMYFUNCTION("IMPORTRANGE(""https://docs.google.com/spreadsheets/d/11923uPwbBZFjjGgGUA6NLw09EwE0CqkOc4q9oUmW1yo/edit?usp=sharing"",""สุโขทัย!I380"")"),0)</f>
        <v>0</v>
      </c>
      <c r="J485" s="198">
        <f ca="1">IFERROR(__xludf.DUMMYFUNCTION("IMPORTRANGE(""https://docs.google.com/spreadsheets/d/11923uPwbBZFjjGgGUA6NLw09EwE0CqkOc4q9oUmW1yo/edit?usp=sharing"",""สุโขทัย!J380"")"),0)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IFERROR(__xludf.DUMMYFUNCTION("IMPORTRANGE(""https://docs.google.com/spreadsheets/d/11923uPwbBZFjjGgGUA6NLw09EwE0CqkOc4q9oUmW1yo/edit?usp=sharing"",""สุโขทัย!I381"")"),0)</f>
        <v>0</v>
      </c>
      <c r="J486" s="198">
        <f ca="1">IFERROR(__xludf.DUMMYFUNCTION("IMPORTRANGE(""https://docs.google.com/spreadsheets/d/11923uPwbBZFjjGgGUA6NLw09EwE0CqkOc4q9oUmW1yo/edit?usp=sharing"",""สุโขทัย!J381"")"),0)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IFERROR(__xludf.DUMMYFUNCTION("IMPORTRANGE(""https://docs.google.com/spreadsheets/d/11923uPwbBZFjjGgGUA6NLw09EwE0CqkOc4q9oUmW1yo/edit?usp=sharing"",""สุโขทัย!I382"")"),0)</f>
        <v>0</v>
      </c>
      <c r="J487" s="428">
        <f ca="1">IFERROR(__xludf.DUMMYFUNCTION("IMPORTRANGE(""https://docs.google.com/spreadsheets/d/11923uPwbBZFjjGgGUA6NLw09EwE0CqkOc4q9oUmW1yo/edit?usp=sharing"",""สุโขทัย!J382"")"),0)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IFERROR(__xludf.DUMMYFUNCTION("IMPORTRANGE(""https://docs.google.com/spreadsheets/d/11923uPwbBZFjjGgGUA6NLw09EwE0CqkOc4q9oUmW1yo/edit?usp=sharing"",""สุโขทัย!I383"")"),0)</f>
        <v>0</v>
      </c>
      <c r="J488" s="428">
        <f ca="1">IFERROR(__xludf.DUMMYFUNCTION("IMPORTRANGE(""https://docs.google.com/spreadsheets/d/11923uPwbBZFjjGgGUA6NLw09EwE0CqkOc4q9oUmW1yo/edit?usp=sharing"",""สุโขทัย!J383"")"),0)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IFERROR(__xludf.DUMMYFUNCTION("IMPORTRANGE(""https://docs.google.com/spreadsheets/d/11923uPwbBZFjjGgGUA6NLw09EwE0CqkOc4q9oUmW1yo/edit?usp=sharing"",""สุโขทัย!I384"")"),0)</f>
        <v>0</v>
      </c>
      <c r="J489" s="198">
        <f ca="1">IFERROR(__xludf.DUMMYFUNCTION("IMPORTRANGE(""https://docs.google.com/spreadsheets/d/11923uPwbBZFjjGgGUA6NLw09EwE0CqkOc4q9oUmW1yo/edit?usp=sharing"",""สุโขทัย!J384"")"),0)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IFERROR(__xludf.DUMMYFUNCTION("IMPORTRANGE(""https://docs.google.com/spreadsheets/d/11923uPwbBZFjjGgGUA6NLw09EwE0CqkOc4q9oUmW1yo/edit?usp=sharing"",""สุโขทัย!I385"")"),0)</f>
        <v>0</v>
      </c>
      <c r="J490" s="198">
        <f ca="1">IFERROR(__xludf.DUMMYFUNCTION("IMPORTRANGE(""https://docs.google.com/spreadsheets/d/11923uPwbBZFjjGgGUA6NLw09EwE0CqkOc4q9oUmW1yo/edit?usp=sharing"",""สุโขทัย!J385"")"),0)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IFERROR(__xludf.DUMMYFUNCTION("IMPORTRANGE(""https://docs.google.com/spreadsheets/d/11923uPwbBZFjjGgGUA6NLw09EwE0CqkOc4q9oUmW1yo/edit?usp=sharing"",""สุโขทัย!I386"")"),0)</f>
        <v>0</v>
      </c>
      <c r="J491" s="198">
        <f ca="1">IFERROR(__xludf.DUMMYFUNCTION("IMPORTRANGE(""https://docs.google.com/spreadsheets/d/11923uPwbBZFjjGgGUA6NLw09EwE0CqkOc4q9oUmW1yo/edit?usp=sharing"",""สุโขทัย!J386"")"),0)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IFERROR(__xludf.DUMMYFUNCTION("IMPORTRANGE(""https://docs.google.com/spreadsheets/d/11923uPwbBZFjjGgGUA6NLw09EwE0CqkOc4q9oUmW1yo/edit?usp=sharing"",""สุโขทัย!I387"")"),0)</f>
        <v>0</v>
      </c>
      <c r="J492" s="198">
        <f ca="1">IFERROR(__xludf.DUMMYFUNCTION("IMPORTRANGE(""https://docs.google.com/spreadsheets/d/11923uPwbBZFjjGgGUA6NLw09EwE0CqkOc4q9oUmW1yo/edit?usp=sharing"",""สุโขทัย!J387"")"),0)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IFERROR(__xludf.DUMMYFUNCTION("IMPORTRANGE(""https://docs.google.com/spreadsheets/d/11923uPwbBZFjjGgGUA6NLw09EwE0CqkOc4q9oUmW1yo/edit?usp=sharing"",""สุโขทัย!I388"")"),0)</f>
        <v>0</v>
      </c>
      <c r="J493" s="198">
        <f ca="1">IFERROR(__xludf.DUMMYFUNCTION("IMPORTRANGE(""https://docs.google.com/spreadsheets/d/11923uPwbBZFjjGgGUA6NLw09EwE0CqkOc4q9oUmW1yo/edit?usp=sharing"",""สุโขทัย!J388"")"),0)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IFERROR(__xludf.DUMMYFUNCTION("IMPORTRANGE(""https://docs.google.com/spreadsheets/d/11923uPwbBZFjjGgGUA6NLw09EwE0CqkOc4q9oUmW1yo/edit?usp=sharing"",""สุโขทัย!I389"")"),0)</f>
        <v>0</v>
      </c>
      <c r="J494" s="444">
        <f ca="1">IFERROR(__xludf.DUMMYFUNCTION("IMPORTRANGE(""https://docs.google.com/spreadsheets/d/11923uPwbBZFjjGgGUA6NLw09EwE0CqkOc4q9oUmW1yo/edit?usp=sharing"",""สุโขทัย!J389"")"),0)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IFERROR(__xludf.DUMMYFUNCTION("IMPORTRANGE(""https://docs.google.com/spreadsheets/d/11923uPwbBZFjjGgGUA6NLw09EwE0CqkOc4q9oUmW1yo/edit?usp=sharing"",""สุโขทัย!I390"")"),0)</f>
        <v>0</v>
      </c>
      <c r="J495" s="444">
        <f ca="1">IFERROR(__xludf.DUMMYFUNCTION("IMPORTRANGE(""https://docs.google.com/spreadsheets/d/11923uPwbBZFjjGgGUA6NLw09EwE0CqkOc4q9oUmW1yo/edit?usp=sharing"",""สุโขทัย!J390"")"),0)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IFERROR(__xludf.DUMMYFUNCTION("IMPORTRANGE(""https://docs.google.com/spreadsheets/d/11923uPwbBZFjjGgGUA6NLw09EwE0CqkOc4q9oUmW1yo/edit?usp=sharing"",""สุโขทัย!I391"")"),0)</f>
        <v>0</v>
      </c>
      <c r="J496" s="444">
        <f ca="1">IFERROR(__xludf.DUMMYFUNCTION("IMPORTRANGE(""https://docs.google.com/spreadsheets/d/11923uPwbBZFjjGgGUA6NLw09EwE0CqkOc4q9oUmW1yo/edit?usp=sharing"",""สุโขทัย!J391"")"),0)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IFERROR(__xludf.DUMMYFUNCTION("IMPORTRANGE(""https://docs.google.com/spreadsheets/d/11923uPwbBZFjjGgGUA6NLw09EwE0CqkOc4q9oUmW1yo/edit?usp=sharing"",""สุโขทัย!I392"")"),0)</f>
        <v>0</v>
      </c>
      <c r="J497" s="451">
        <f ca="1">IFERROR(__xludf.DUMMYFUNCTION("IMPORTRANGE(""https://docs.google.com/spreadsheets/d/11923uPwbBZFjjGgGUA6NLw09EwE0CqkOc4q9oUmW1yo/edit?usp=sharing"",""สุโขทัย!J392"")"),0)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IFERROR(__xludf.DUMMYFUNCTION("IMPORTRANGE(""https://docs.google.com/spreadsheets/d/11923uPwbBZFjjGgGUA6NLw09EwE0CqkOc4q9oUmW1yo/edit?usp=sharing"",""สุโขทัย!I393"")"),0)</f>
        <v>0</v>
      </c>
      <c r="J498" s="428">
        <f ca="1">IFERROR(__xludf.DUMMYFUNCTION("IMPORTRANGE(""https://docs.google.com/spreadsheets/d/11923uPwbBZFjjGgGUA6NLw09EwE0CqkOc4q9oUmW1yo/edit?usp=sharing"",""สุโขทัย!J393"")"),0)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IFERROR(__xludf.DUMMYFUNCTION("IMPORTRANGE(""https://docs.google.com/spreadsheets/d/11923uPwbBZFjjGgGUA6NLw09EwE0CqkOc4q9oUmW1yo/edit?usp=sharing"",""สุโขทัย!I394"")"),0)</f>
        <v>0</v>
      </c>
      <c r="J499" s="428">
        <f ca="1">IFERROR(__xludf.DUMMYFUNCTION("IMPORTRANGE(""https://docs.google.com/spreadsheets/d/11923uPwbBZFjjGgGUA6NLw09EwE0CqkOc4q9oUmW1yo/edit?usp=sharing"",""สุโขทัย!J394"")"),0)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IFERROR(__xludf.DUMMYFUNCTION("IMPORTRANGE(""https://docs.google.com/spreadsheets/d/11923uPwbBZFjjGgGUA6NLw09EwE0CqkOc4q9oUmW1yo/edit?usp=sharing"",""สุโขทัย!I395"")"),0)</f>
        <v>0</v>
      </c>
      <c r="J500" s="170">
        <f ca="1">IFERROR(__xludf.DUMMYFUNCTION("IMPORTRANGE(""https://docs.google.com/spreadsheets/d/11923uPwbBZFjjGgGUA6NLw09EwE0CqkOc4q9oUmW1yo/edit?usp=sharing"",""สุโขทัย!J395"")"),0)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IFERROR(__xludf.DUMMYFUNCTION("IMPORTRANGE(""https://docs.google.com/spreadsheets/d/11923uPwbBZFjjGgGUA6NLw09EwE0CqkOc4q9oUmW1yo/edit?usp=sharing"",""สุโขทัย!I396"")"),0)</f>
        <v>0</v>
      </c>
      <c r="J501" s="170">
        <f ca="1">IFERROR(__xludf.DUMMYFUNCTION("IMPORTRANGE(""https://docs.google.com/spreadsheets/d/11923uPwbBZFjjGgGUA6NLw09EwE0CqkOc4q9oUmW1yo/edit?usp=sharing"",""สุโขทัย!J396"")"),0)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IFERROR(__xludf.DUMMYFUNCTION("IMPORTRANGE(""https://docs.google.com/spreadsheets/d/11923uPwbBZFjjGgGUA6NLw09EwE0CqkOc4q9oUmW1yo/edit?usp=sharing"",""สุโขทัย!I397"")"),0)</f>
        <v>0</v>
      </c>
      <c r="J502" s="198">
        <f ca="1">IFERROR(__xludf.DUMMYFUNCTION("IMPORTRANGE(""https://docs.google.com/spreadsheets/d/11923uPwbBZFjjGgGUA6NLw09EwE0CqkOc4q9oUmW1yo/edit?usp=sharing"",""สุโขทัย!J397"")"),0)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IFERROR(__xludf.DUMMYFUNCTION("IMPORTRANGE(""https://docs.google.com/spreadsheets/d/11923uPwbBZFjjGgGUA6NLw09EwE0CqkOc4q9oUmW1yo/edit?usp=sharing"",""สุโขทัย!I398"")"),0)</f>
        <v>0</v>
      </c>
      <c r="J503" s="207">
        <f ca="1">IFERROR(__xludf.DUMMYFUNCTION("IMPORTRANGE(""https://docs.google.com/spreadsheets/d/11923uPwbBZFjjGgGUA6NLw09EwE0CqkOc4q9oUmW1yo/edit?usp=sharing"",""สุโขทัย!J398"")"),0)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IFERROR(__xludf.DUMMYFUNCTION("IMPORTRANGE(""https://docs.google.com/spreadsheets/d/11923uPwbBZFjjGgGUA6NLw09EwE0CqkOc4q9oUmW1yo/edit?usp=sharing"",""สุโขทัย!I399"")"),0)</f>
        <v>0</v>
      </c>
      <c r="J504" s="198">
        <f ca="1">IFERROR(__xludf.DUMMYFUNCTION("IMPORTRANGE(""https://docs.google.com/spreadsheets/d/11923uPwbBZFjjGgGUA6NLw09EwE0CqkOc4q9oUmW1yo/edit?usp=sharing"",""สุโขทัย!J399"")"),0)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IFERROR(__xludf.DUMMYFUNCTION("IMPORTRANGE(""https://docs.google.com/spreadsheets/d/11923uPwbBZFjjGgGUA6NLw09EwE0CqkOc4q9oUmW1yo/edit?usp=sharing"",""สุโขทัย!I400"")"),0)</f>
        <v>0</v>
      </c>
      <c r="J505" s="207">
        <f ca="1">IFERROR(__xludf.DUMMYFUNCTION("IMPORTRANGE(""https://docs.google.com/spreadsheets/d/11923uPwbBZFjjGgGUA6NLw09EwE0CqkOc4q9oUmW1yo/edit?usp=sharing"",""สุโขทัย!J400"")"),0)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IFERROR(__xludf.DUMMYFUNCTION("IMPORTRANGE(""https://docs.google.com/spreadsheets/d/11923uPwbBZFjjGgGUA6NLw09EwE0CqkOc4q9oUmW1yo/edit?usp=sharing"",""สุโขทัย!I401"")"),0)</f>
        <v>0</v>
      </c>
      <c r="J506" s="198">
        <f ca="1">IFERROR(__xludf.DUMMYFUNCTION("IMPORTRANGE(""https://docs.google.com/spreadsheets/d/11923uPwbBZFjjGgGUA6NLw09EwE0CqkOc4q9oUmW1yo/edit?usp=sharing"",""สุโขทัย!J401"")"),0)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IFERROR(__xludf.DUMMYFUNCTION("IMPORTRANGE(""https://docs.google.com/spreadsheets/d/11923uPwbBZFjjGgGUA6NLw09EwE0CqkOc4q9oUmW1yo/edit?usp=sharing"",""สุโขทัย!I402"")"),0)</f>
        <v>0</v>
      </c>
      <c r="J507" s="207">
        <f ca="1">IFERROR(__xludf.DUMMYFUNCTION("IMPORTRANGE(""https://docs.google.com/spreadsheets/d/11923uPwbBZFjjGgGUA6NLw09EwE0CqkOc4q9oUmW1yo/edit?usp=sharing"",""สุโขทัย!J402"")"),0)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IFERROR(__xludf.DUMMYFUNCTION("IMPORTRANGE(""https://docs.google.com/spreadsheets/d/11923uPwbBZFjjGgGUA6NLw09EwE0CqkOc4q9oUmW1yo/edit?usp=sharing"",""สุโขทัย!I403"")"),0)</f>
        <v>0</v>
      </c>
      <c r="J508" s="170">
        <f ca="1">IFERROR(__xludf.DUMMYFUNCTION("IMPORTRANGE(""https://docs.google.com/spreadsheets/d/11923uPwbBZFjjGgGUA6NLw09EwE0CqkOc4q9oUmW1yo/edit?usp=sharing"",""สุโขทัย!J403"")"),0)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IFERROR(__xludf.DUMMYFUNCTION("IMPORTRANGE(""https://docs.google.com/spreadsheets/d/11923uPwbBZFjjGgGUA6NLw09EwE0CqkOc4q9oUmW1yo/edit?usp=sharing"",""สุโขทัย!I404"")"),0)</f>
        <v>0</v>
      </c>
      <c r="J509" s="170">
        <f ca="1">IFERROR(__xludf.DUMMYFUNCTION("IMPORTRANGE(""https://docs.google.com/spreadsheets/d/11923uPwbBZFjjGgGUA6NLw09EwE0CqkOc4q9oUmW1yo/edit?usp=sharing"",""สุโขทัย!J404"")"),0)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IFERROR(__xludf.DUMMYFUNCTION("IMPORTRANGE(""https://docs.google.com/spreadsheets/d/11923uPwbBZFjjGgGUA6NLw09EwE0CqkOc4q9oUmW1yo/edit?usp=sharing"",""สุโขทัย!I405"")"),0)</f>
        <v>0</v>
      </c>
      <c r="J510" s="207">
        <f ca="1">IFERROR(__xludf.DUMMYFUNCTION("IMPORTRANGE(""https://docs.google.com/spreadsheets/d/11923uPwbBZFjjGgGUA6NLw09EwE0CqkOc4q9oUmW1yo/edit?usp=sharing"",""สุโขทัย!J405"")"),0)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IFERROR(__xludf.DUMMYFUNCTION("IMPORTRANGE(""https://docs.google.com/spreadsheets/d/11923uPwbBZFjjGgGUA6NLw09EwE0CqkOc4q9oUmW1yo/edit?usp=sharing"",""สุโขทัย!I406"")"),0)</f>
        <v>0</v>
      </c>
      <c r="J511" s="207">
        <f ca="1">IFERROR(__xludf.DUMMYFUNCTION("IMPORTRANGE(""https://docs.google.com/spreadsheets/d/11923uPwbBZFjjGgGUA6NLw09EwE0CqkOc4q9oUmW1yo/edit?usp=sharing"",""สุโขทัย!J406"")"),0)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IFERROR(__xludf.DUMMYFUNCTION("IMPORTRANGE(""https://docs.google.com/spreadsheets/d/11923uPwbBZFjjGgGUA6NLw09EwE0CqkOc4q9oUmW1yo/edit?usp=sharing"",""สุโขทัย!I407"")"),0)</f>
        <v>0</v>
      </c>
      <c r="J512" s="207">
        <f ca="1">IFERROR(__xludf.DUMMYFUNCTION("IMPORTRANGE(""https://docs.google.com/spreadsheets/d/11923uPwbBZFjjGgGUA6NLw09EwE0CqkOc4q9oUmW1yo/edit?usp=sharing"",""สุโขทัย!J407"")"),0)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IFERROR(__xludf.DUMMYFUNCTION("IMPORTRANGE(""https://docs.google.com/spreadsheets/d/11923uPwbBZFjjGgGUA6NLw09EwE0CqkOc4q9oUmW1yo/edit?usp=sharing"",""สุโขทัย!I408"")"),0)</f>
        <v>0</v>
      </c>
      <c r="J513" s="207">
        <f ca="1">IFERROR(__xludf.DUMMYFUNCTION("IMPORTRANGE(""https://docs.google.com/spreadsheets/d/11923uPwbBZFjjGgGUA6NLw09EwE0CqkOc4q9oUmW1yo/edit?usp=sharing"",""สุโขทัย!J408"")"),0)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IFERROR(__xludf.DUMMYFUNCTION("IMPORTRANGE(""https://docs.google.com/spreadsheets/d/11923uPwbBZFjjGgGUA6NLw09EwE0CqkOc4q9oUmW1yo/edit?usp=sharing"",""สุโขทัย!I409"")"),0)</f>
        <v>0</v>
      </c>
      <c r="J514" s="207">
        <f ca="1">IFERROR(__xludf.DUMMYFUNCTION("IMPORTRANGE(""https://docs.google.com/spreadsheets/d/11923uPwbBZFjjGgGUA6NLw09EwE0CqkOc4q9oUmW1yo/edit?usp=sharing"",""สุโขทัย!J409"")"),0)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IFERROR(__xludf.DUMMYFUNCTION("IMPORTRANGE(""https://docs.google.com/spreadsheets/d/11923uPwbBZFjjGgGUA6NLw09EwE0CqkOc4q9oUmW1yo/edit?usp=sharing"",""สุโขทัย!I410"")"),0)</f>
        <v>0</v>
      </c>
      <c r="J515" s="207">
        <f ca="1">IFERROR(__xludf.DUMMYFUNCTION("IMPORTRANGE(""https://docs.google.com/spreadsheets/d/11923uPwbBZFjjGgGUA6NLw09EwE0CqkOc4q9oUmW1yo/edit?usp=sharing"",""สุโขทัย!J410"")"),0)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IFERROR(__xludf.DUMMYFUNCTION("IMPORTRANGE(""https://docs.google.com/spreadsheets/d/11923uPwbBZFjjGgGUA6NLw09EwE0CqkOc4q9oUmW1yo/edit?usp=sharing"",""สุโขทัย!I411"")"),0)</f>
        <v>0</v>
      </c>
      <c r="J516" s="276">
        <f ca="1">IFERROR(__xludf.DUMMYFUNCTION("IMPORTRANGE(""https://docs.google.com/spreadsheets/d/11923uPwbBZFjjGgGUA6NLw09EwE0CqkOc4q9oUmW1yo/edit?usp=sharing"",""สุโขทัย!J411"")"),0)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IFERROR(__xludf.DUMMYFUNCTION("IMPORTRANGE(""https://docs.google.com/spreadsheets/d/11923uPwbBZFjjGgGUA6NLw09EwE0CqkOc4q9oUmW1yo/edit?usp=sharing"",""สุโขทัย!I412"")"),0)</f>
        <v>0</v>
      </c>
      <c r="J517" s="292">
        <f ca="1">IFERROR(__xludf.DUMMYFUNCTION("IMPORTRANGE(""https://docs.google.com/spreadsheets/d/11923uPwbBZFjjGgGUA6NLw09EwE0CqkOc4q9oUmW1yo/edit?usp=sharing"",""สุโขทัย!J412"")"),0)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IFERROR(__xludf.DUMMYFUNCTION("IMPORTRANGE(""https://docs.google.com/spreadsheets/d/11923uPwbBZFjjGgGUA6NLw09EwE0CqkOc4q9oUmW1yo/edit?usp=sharing"",""สุโขทัย!I413"")"),0)</f>
        <v>0</v>
      </c>
      <c r="J518" s="292">
        <f ca="1">IFERROR(__xludf.DUMMYFUNCTION("IMPORTRANGE(""https://docs.google.com/spreadsheets/d/11923uPwbBZFjjGgGUA6NLw09EwE0CqkOc4q9oUmW1yo/edit?usp=sharing"",""สุโขทัย!J413"")"),0)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IFERROR(__xludf.DUMMYFUNCTION("IMPORTRANGE(""https://docs.google.com/spreadsheets/d/11923uPwbBZFjjGgGUA6NLw09EwE0CqkOc4q9oUmW1yo/edit?usp=sharing"",""สุโขทัย!I414"")"),0)</f>
        <v>0</v>
      </c>
      <c r="J519" s="197">
        <f ca="1">IFERROR(__xludf.DUMMYFUNCTION("IMPORTRANGE(""https://docs.google.com/spreadsheets/d/11923uPwbBZFjjGgGUA6NLw09EwE0CqkOc4q9oUmW1yo/edit?usp=sharing"",""สุโขทัย!J414"")"),0)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IFERROR(__xludf.DUMMYFUNCTION("IMPORTRANGE(""https://docs.google.com/spreadsheets/d/11923uPwbBZFjjGgGUA6NLw09EwE0CqkOc4q9oUmW1yo/edit?usp=sharing"",""สุโขทัย!I415"")"),0)</f>
        <v>0</v>
      </c>
      <c r="J520" s="197">
        <f ca="1">IFERROR(__xludf.DUMMYFUNCTION("IMPORTRANGE(""https://docs.google.com/spreadsheets/d/11923uPwbBZFjjGgGUA6NLw09EwE0CqkOc4q9oUmW1yo/edit?usp=sharing"",""สุโขทัย!J415"")"),0)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IFERROR(__xludf.DUMMYFUNCTION("IMPORTRANGE(""https://docs.google.com/spreadsheets/d/11923uPwbBZFjjGgGUA6NLw09EwE0CqkOc4q9oUmW1yo/edit?usp=sharing"",""สุโขทัย!I416"")"),0)</f>
        <v>0</v>
      </c>
      <c r="J521" s="197">
        <f ca="1">IFERROR(__xludf.DUMMYFUNCTION("IMPORTRANGE(""https://docs.google.com/spreadsheets/d/11923uPwbBZFjjGgGUA6NLw09EwE0CqkOc4q9oUmW1yo/edit?usp=sharing"",""สุโขทัย!J416"")"),0)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IFERROR(__xludf.DUMMYFUNCTION("IMPORTRANGE(""https://docs.google.com/spreadsheets/d/11923uPwbBZFjjGgGUA6NLw09EwE0CqkOc4q9oUmW1yo/edit?usp=sharing"",""สุโขทัย!I417"")"),0)</f>
        <v>0</v>
      </c>
      <c r="J522" s="197">
        <f ca="1">IFERROR(__xludf.DUMMYFUNCTION("IMPORTRANGE(""https://docs.google.com/spreadsheets/d/11923uPwbBZFjjGgGUA6NLw09EwE0CqkOc4q9oUmW1yo/edit?usp=sharing"",""สุโขทัย!J417"")"),0)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IFERROR(__xludf.DUMMYFUNCTION("IMPORTRANGE(""https://docs.google.com/spreadsheets/d/11923uPwbBZFjjGgGUA6NLw09EwE0CqkOc4q9oUmW1yo/edit?usp=sharing"",""สุโขทัย!I418"")"),0)</f>
        <v>0</v>
      </c>
      <c r="J523" s="197">
        <f ca="1">IFERROR(__xludf.DUMMYFUNCTION("IMPORTRANGE(""https://docs.google.com/spreadsheets/d/11923uPwbBZFjjGgGUA6NLw09EwE0CqkOc4q9oUmW1yo/edit?usp=sharing"",""สุโขทัย!J418"")"),12)</f>
        <v>12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IFERROR(__xludf.DUMMYFUNCTION("IMPORTRANGE(""https://docs.google.com/spreadsheets/d/11923uPwbBZFjjGgGUA6NLw09EwE0CqkOc4q9oUmW1yo/edit?usp=sharing"",""สุโขทัย!I419"")"),0)</f>
        <v>0</v>
      </c>
      <c r="J524" s="197">
        <f ca="1">IFERROR(__xludf.DUMMYFUNCTION("IMPORTRANGE(""https://docs.google.com/spreadsheets/d/11923uPwbBZFjjGgGUA6NLw09EwE0CqkOc4q9oUmW1yo/edit?usp=sharing"",""สุโขทัย!J419"")"),2)</f>
        <v>2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IFERROR(__xludf.DUMMYFUNCTION("IMPORTRANGE(""https://docs.google.com/spreadsheets/d/11923uPwbBZFjjGgGUA6NLw09EwE0CqkOc4q9oUmW1yo/edit?usp=sharing"",""สุโขทัย!I420"")"),12)</f>
        <v>12</v>
      </c>
      <c r="J525" s="292">
        <f ca="1">IFERROR(__xludf.DUMMYFUNCTION("IMPORTRANGE(""https://docs.google.com/spreadsheets/d/11923uPwbBZFjjGgGUA6NLw09EwE0CqkOc4q9oUmW1yo/edit?usp=sharing"",""สุโขทัย!J420"")"),12)</f>
        <v>12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IFERROR(__xludf.DUMMYFUNCTION("IMPORTRANGE(""https://docs.google.com/spreadsheets/d/11923uPwbBZFjjGgGUA6NLw09EwE0CqkOc4q9oUmW1yo/edit?usp=sharing"",""สุโขทัย!I421"")"),2)</f>
        <v>2</v>
      </c>
      <c r="J526" s="292">
        <f ca="1">IFERROR(__xludf.DUMMYFUNCTION("IMPORTRANGE(""https://docs.google.com/spreadsheets/d/11923uPwbBZFjjGgGUA6NLw09EwE0CqkOc4q9oUmW1yo/edit?usp=sharing"",""สุโขทัย!J421"")"),2)</f>
        <v>2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IFERROR(__xludf.DUMMYFUNCTION("IMPORTRANGE(""https://docs.google.com/spreadsheets/d/11923uPwbBZFjjGgGUA6NLw09EwE0CqkOc4q9oUmW1yo/edit?usp=sharing"",""สุโขทัย!I422"")"),0)</f>
        <v>0</v>
      </c>
      <c r="J527" s="207">
        <f ca="1">IFERROR(__xludf.DUMMYFUNCTION("IMPORTRANGE(""https://docs.google.com/spreadsheets/d/11923uPwbBZFjjGgGUA6NLw09EwE0CqkOc4q9oUmW1yo/edit?usp=sharing"",""สุโขทัย!J422"")"),0)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IFERROR(__xludf.DUMMYFUNCTION("IMPORTRANGE(""https://docs.google.com/spreadsheets/d/11923uPwbBZFjjGgGUA6NLw09EwE0CqkOc4q9oUmW1yo/edit?usp=sharing"",""สุโขทัย!I423"")"),0)</f>
        <v>0</v>
      </c>
      <c r="J528" s="207">
        <f ca="1">IFERROR(__xludf.DUMMYFUNCTION("IMPORTRANGE(""https://docs.google.com/spreadsheets/d/11923uPwbBZFjjGgGUA6NLw09EwE0CqkOc4q9oUmW1yo/edit?usp=sharing"",""สุโขทัย!J423"")"),0)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IFERROR(__xludf.DUMMYFUNCTION("IMPORTRANGE(""https://docs.google.com/spreadsheets/d/11923uPwbBZFjjGgGUA6NLw09EwE0CqkOc4q9oUmW1yo/edit?usp=sharing"",""สุโขทัย!I424"")"),0)</f>
        <v>0</v>
      </c>
      <c r="J529" s="207">
        <f ca="1">IFERROR(__xludf.DUMMYFUNCTION("IMPORTRANGE(""https://docs.google.com/spreadsheets/d/11923uPwbBZFjjGgGUA6NLw09EwE0CqkOc4q9oUmW1yo/edit?usp=sharing"",""สุโขทัย!J424"")"),12)</f>
        <v>12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IFERROR(__xludf.DUMMYFUNCTION("IMPORTRANGE(""https://docs.google.com/spreadsheets/d/11923uPwbBZFjjGgGUA6NLw09EwE0CqkOc4q9oUmW1yo/edit?usp=sharing"",""สุโขทัย!I425"")"),0)</f>
        <v>0</v>
      </c>
      <c r="J530" s="207">
        <f ca="1">IFERROR(__xludf.DUMMYFUNCTION("IMPORTRANGE(""https://docs.google.com/spreadsheets/d/11923uPwbBZFjjGgGUA6NLw09EwE0CqkOc4q9oUmW1yo/edit?usp=sharing"",""สุโขทัย!J425"")"),2)</f>
        <v>2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IFERROR(__xludf.DUMMYFUNCTION("IMPORTRANGE(""https://docs.google.com/spreadsheets/d/11923uPwbBZFjjGgGUA6NLw09EwE0CqkOc4q9oUmW1yo/edit?usp=sharing"",""สุโขทัย!I426"")"),0)</f>
        <v>0</v>
      </c>
      <c r="J531" s="207">
        <f ca="1">IFERROR(__xludf.DUMMYFUNCTION("IMPORTRANGE(""https://docs.google.com/spreadsheets/d/11923uPwbBZFjjGgGUA6NLw09EwE0CqkOc4q9oUmW1yo/edit?usp=sharing"",""สุโขทัย!J426"")"),0)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IFERROR(__xludf.DUMMYFUNCTION("IMPORTRANGE(""https://docs.google.com/spreadsheets/d/11923uPwbBZFjjGgGUA6NLw09EwE0CqkOc4q9oUmW1yo/edit?usp=sharing"",""สุโขทัย!I427"")"),0)</f>
        <v>0</v>
      </c>
      <c r="J532" s="474">
        <f ca="1">IFERROR(__xludf.DUMMYFUNCTION("IMPORTRANGE(""https://docs.google.com/spreadsheets/d/11923uPwbBZFjjGgGUA6NLw09EwE0CqkOc4q9oUmW1yo/edit?usp=sharing"",""สุโขทัย!J427"")"),0)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IFERROR(__xludf.DUMMYFUNCTION("IMPORTRANGE(""https://docs.google.com/spreadsheets/d/11923uPwbBZFjjGgGUA6NLw09EwE0CqkOc4q9oUmW1yo/edit?usp=sharing"",""สุโขทัย!I428"")"),22)</f>
        <v>22</v>
      </c>
      <c r="J533" s="418">
        <f ca="1">IFERROR(__xludf.DUMMYFUNCTION("IMPORTRANGE(""https://docs.google.com/spreadsheets/d/11923uPwbBZFjjGgGUA6NLw09EwE0CqkOc4q9oUmW1yo/edit?usp=sharing"",""สุโขทัย!J428"")"),22)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IFERROR(__xludf.DUMMYFUNCTION("IMPORTRANGE(""https://docs.google.com/spreadsheets/d/11923uPwbBZFjjGgGUA6NLw09EwE0CqkOc4q9oUmW1yo/edit?usp=sharing"",""สุโขทัย!L428"")"),34340)</f>
        <v>34340</v>
      </c>
      <c r="M533" s="420"/>
      <c r="N533" s="420">
        <f ca="1">IFERROR(__xludf.DUMMYFUNCTION("IMPORTRANGE(""https://docs.google.com/spreadsheets/d/11923uPwbBZFjjGgGUA6NLw09EwE0CqkOc4q9oUmW1yo/edit?usp=sharing"",""สุโขทัย!M428"")"),18740)</f>
        <v>18740</v>
      </c>
      <c r="O533" s="420">
        <f t="shared" ref="O533:O537" ca="1" si="118">+IF(L533&gt;0,N533*100/L533,0)</f>
        <v>54.571927781013393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IFERROR(__xludf.DUMMYFUNCTION("IMPORTRANGE(""https://docs.google.com/spreadsheets/d/11923uPwbBZFjjGgGUA6NLw09EwE0CqkOc4q9oUmW1yo/edit?usp=sharing"",""สุโขทัย!L429"")"),0)</f>
        <v>0</v>
      </c>
      <c r="M534" s="172"/>
      <c r="N534" s="178">
        <f ca="1">IFERROR(__xludf.DUMMYFUNCTION("IMPORTRANGE(""https://docs.google.com/spreadsheets/d/11923uPwbBZFjjGgGUA6NLw09EwE0CqkOc4q9oUmW1yo/edit?usp=sharing"",""สุโขทัย!M429"")"),0)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IFERROR(__xludf.DUMMYFUNCTION("IMPORTRANGE(""https://docs.google.com/spreadsheets/d/11923uPwbBZFjjGgGUA6NLw09EwE0CqkOc4q9oUmW1yo/edit?usp=sharing"",""สุโขทัย!L430"")"),34340)</f>
        <v>34340</v>
      </c>
      <c r="M535" s="173"/>
      <c r="N535" s="178">
        <f ca="1">IFERROR(__xludf.DUMMYFUNCTION("IMPORTRANGE(""https://docs.google.com/spreadsheets/d/11923uPwbBZFjjGgGUA6NLw09EwE0CqkOc4q9oUmW1yo/edit?usp=sharing"",""สุโขทัย!M430"")"),18740)</f>
        <v>18740</v>
      </c>
      <c r="O535" s="178">
        <f t="shared" ca="1" si="118"/>
        <v>54.571927781013393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IFERROR(__xludf.DUMMYFUNCTION("IMPORTRANGE(""https://docs.google.com/spreadsheets/d/11923uPwbBZFjjGgGUA6NLw09EwE0CqkOc4q9oUmW1yo/edit?usp=sharing"",""สุโขทัย!L431"")"),0)</f>
        <v>0</v>
      </c>
      <c r="M536" s="178"/>
      <c r="N536" s="178">
        <f ca="1">IFERROR(__xludf.DUMMYFUNCTION("IMPORTRANGE(""https://docs.google.com/spreadsheets/d/11923uPwbBZFjjGgGUA6NLw09EwE0CqkOc4q9oUmW1yo/edit?usp=sharing"",""สุโขทัย!M431"")"),0)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IFERROR(__xludf.DUMMYFUNCTION("IMPORTRANGE(""https://docs.google.com/spreadsheets/d/11923uPwbBZFjjGgGUA6NLw09EwE0CqkOc4q9oUmW1yo/edit?usp=sharing"",""สุโขทัย!L432"")"),34340)</f>
        <v>34340</v>
      </c>
      <c r="M537" s="178"/>
      <c r="N537" s="178">
        <f ca="1">IFERROR(__xludf.DUMMYFUNCTION("IMPORTRANGE(""https://docs.google.com/spreadsheets/d/11923uPwbBZFjjGgGUA6NLw09EwE0CqkOc4q9oUmW1yo/edit?usp=sharing"",""สุโขทัย!M432"")"),18740)</f>
        <v>18740</v>
      </c>
      <c r="O537" s="178">
        <f t="shared" ca="1" si="118"/>
        <v>54.571927781013393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IFERROR(__xludf.DUMMYFUNCTION("IMPORTRANGE(""https://docs.google.com/spreadsheets/d/11923uPwbBZFjjGgGUA6NLw09EwE0CqkOc4q9oUmW1yo/edit?usp=sharing"",""สุโขทัย!M433"")"),18740)</f>
        <v>18740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IFERROR(__xludf.DUMMYFUNCTION("IMPORTRANGE(""https://docs.google.com/spreadsheets/d/11923uPwbBZFjjGgGUA6NLw09EwE0CqkOc4q9oUmW1yo/edit?usp=sharing"",""สุโขทัย!M434"")"),0)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IFERROR(__xludf.DUMMYFUNCTION("IMPORTRANGE(""https://docs.google.com/spreadsheets/d/11923uPwbBZFjjGgGUA6NLw09EwE0CqkOc4q9oUmW1yo/edit?usp=sharing"",""สุโขทัย!M435"")"),0)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IFERROR(__xludf.DUMMYFUNCTION("IMPORTRANGE(""https://docs.google.com/spreadsheets/d/11923uPwbBZFjjGgGUA6NLw09EwE0CqkOc4q9oUmW1yo/edit?usp=sharing"",""สุโขทัย!M436"")"),0)</f>
        <v>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IFERROR(__xludf.DUMMYFUNCTION("IMPORTRANGE(""https://docs.google.com/spreadsheets/d/11923uPwbBZFjjGgGUA6NLw09EwE0CqkOc4q9oUmW1yo/edit?usp=sharing"",""สุโขทัย!J438"")"),0)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IFERROR(__xludf.DUMMYFUNCTION("IMPORTRANGE(""https://docs.google.com/spreadsheets/d/11923uPwbBZFjjGgGUA6NLw09EwE0CqkOc4q9oUmW1yo/edit?usp=sharing"",""สุโขทัย!J439"")"),1)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IFERROR(__xludf.DUMMYFUNCTION("IMPORTRANGE(""https://docs.google.com/spreadsheets/d/11923uPwbBZFjjGgGUA6NLw09EwE0CqkOc4q9oUmW1yo/edit?usp=sharing"",""สุโขทัย!J440"")"),1)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IFERROR(__xludf.DUMMYFUNCTION("IMPORTRANGE(""https://docs.google.com/spreadsheets/d/11923uPwbBZFjjGgGUA6NLw09EwE0CqkOc4q9oUmW1yo/edit?usp=sharing"",""สุโขทัย!J441"")"),1)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IFERROR(__xludf.DUMMYFUNCTION("IMPORTRANGE(""https://docs.google.com/spreadsheets/d/11923uPwbBZFjjGgGUA6NLw09EwE0CqkOc4q9oUmW1yo/edit?usp=sharing"",""สุโขทัย!I442"")"),22)</f>
        <v>22</v>
      </c>
      <c r="J547" s="198">
        <f ca="1">IFERROR(__xludf.DUMMYFUNCTION("IMPORTRANGE(""https://docs.google.com/spreadsheets/d/11923uPwbBZFjjGgGUA6NLw09EwE0CqkOc4q9oUmW1yo/edit?usp=sharing"",""สุโขทัย!J442"")"),22)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IFERROR(__xludf.DUMMYFUNCTION("IMPORTRANGE(""https://docs.google.com/spreadsheets/d/11923uPwbBZFjjGgGUA6NLw09EwE0CqkOc4q9oUmW1yo/edit?usp=sharing"",""สุโขทัย!J166"")"),0)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IFERROR(__xludf.DUMMYFUNCTION("IMPORTRANGE(""https://docs.google.com/spreadsheets/d/11923uPwbBZFjjGgGUA6NLw09EwE0CqkOc4q9oUmW1yo/edit?usp=sharing"",""สุโขทัย!J444"")"),0)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IFERROR(__xludf.DUMMYFUNCTION("IMPORTRANGE(""https://docs.google.com/spreadsheets/d/11923uPwbBZFjjGgGUA6NLw09EwE0CqkOc4q9oUmW1yo/edit?usp=sharing"",""สุโขทัย!J445"")"),0)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IFERROR(__xludf.DUMMYFUNCTION("IMPORTRANGE(""https://docs.google.com/spreadsheets/d/11923uPwbBZFjjGgGUA6NLw09EwE0CqkOc4q9oUmW1yo/edit?usp=sharing"",""สุโขทัย!I446"")"),0)</f>
        <v>0</v>
      </c>
      <c r="J551" s="418">
        <f ca="1">IFERROR(__xludf.DUMMYFUNCTION("IMPORTRANGE(""https://docs.google.com/spreadsheets/d/11923uPwbBZFjjGgGUA6NLw09EwE0CqkOc4q9oUmW1yo/edit?usp=sharing"",""สุโขทัย!J446"")"),0)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IFERROR(__xludf.DUMMYFUNCTION("IMPORTRANGE(""https://docs.google.com/spreadsheets/d/11923uPwbBZFjjGgGUA6NLw09EwE0CqkOc4q9oUmW1yo/edit?usp=sharing"",""สุโขทัย!L446"")"),0)</f>
        <v>0</v>
      </c>
      <c r="M551" s="420"/>
      <c r="N551" s="420">
        <f ca="1">IFERROR(__xludf.DUMMYFUNCTION("IMPORTRANGE(""https://docs.google.com/spreadsheets/d/11923uPwbBZFjjGgGUA6NLw09EwE0CqkOc4q9oUmW1yo/edit?usp=sharing"",""สุโขทัย!M446"")"),0)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IFERROR(__xludf.DUMMYFUNCTION("IMPORTRANGE(""https://docs.google.com/spreadsheets/d/11923uPwbBZFjjGgGUA6NLw09EwE0CqkOc4q9oUmW1yo/edit?usp=sharing"",""สุโขทัย!L447"")"),0)</f>
        <v>0</v>
      </c>
      <c r="M552" s="172"/>
      <c r="N552" s="178">
        <f ca="1">IFERROR(__xludf.DUMMYFUNCTION("IMPORTRANGE(""https://docs.google.com/spreadsheets/d/11923uPwbBZFjjGgGUA6NLw09EwE0CqkOc4q9oUmW1yo/edit?usp=sharing"",""สุโขทัย!M447"")"),0)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IFERROR(__xludf.DUMMYFUNCTION("IMPORTRANGE(""https://docs.google.com/spreadsheets/d/11923uPwbBZFjjGgGUA6NLw09EwE0CqkOc4q9oUmW1yo/edit?usp=sharing"",""สุโขทัย!L448"")"),0)</f>
        <v>0</v>
      </c>
      <c r="M553" s="173"/>
      <c r="N553" s="178">
        <f ca="1">IFERROR(__xludf.DUMMYFUNCTION("IMPORTRANGE(""https://docs.google.com/spreadsheets/d/11923uPwbBZFjjGgGUA6NLw09EwE0CqkOc4q9oUmW1yo/edit?usp=sharing"",""สุโขทัย!M448"")"),0)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IFERROR(__xludf.DUMMYFUNCTION("IMPORTRANGE(""https://docs.google.com/spreadsheets/d/11923uPwbBZFjjGgGUA6NLw09EwE0CqkOc4q9oUmW1yo/edit?usp=sharing"",""สุโขทัย!L449"")"),0)</f>
        <v>0</v>
      </c>
      <c r="M554" s="178"/>
      <c r="N554" s="178">
        <f ca="1">IFERROR(__xludf.DUMMYFUNCTION("IMPORTRANGE(""https://docs.google.com/spreadsheets/d/11923uPwbBZFjjGgGUA6NLw09EwE0CqkOc4q9oUmW1yo/edit?usp=sharing"",""สุโขทัย!M449"")"),0)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IFERROR(__xludf.DUMMYFUNCTION("IMPORTRANGE(""https://docs.google.com/spreadsheets/d/11923uPwbBZFjjGgGUA6NLw09EwE0CqkOc4q9oUmW1yo/edit?usp=sharing"",""สุโขทัย!L450"")"),0)</f>
        <v>0</v>
      </c>
      <c r="M555" s="178"/>
      <c r="N555" s="178">
        <f ca="1">IFERROR(__xludf.DUMMYFUNCTION("IMPORTRANGE(""https://docs.google.com/spreadsheets/d/11923uPwbBZFjjGgGUA6NLw09EwE0CqkOc4q9oUmW1yo/edit?usp=sharing"",""สุโขทัย!M450"")"),0)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IFERROR(__xludf.DUMMYFUNCTION("IMPORTRANGE(""https://docs.google.com/spreadsheets/d/11923uPwbBZFjjGgGUA6NLw09EwE0CqkOc4q9oUmW1yo/edit?usp=sharing"",""สุโขทัย!M451"")"),0)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IFERROR(__xludf.DUMMYFUNCTION("IMPORTRANGE(""https://docs.google.com/spreadsheets/d/11923uPwbBZFjjGgGUA6NLw09EwE0CqkOc4q9oUmW1yo/edit?usp=sharing"",""สุโขทัย!M452"")"),0)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IFERROR(__xludf.DUMMYFUNCTION("IMPORTRANGE(""https://docs.google.com/spreadsheets/d/11923uPwbBZFjjGgGUA6NLw09EwE0CqkOc4q9oUmW1yo/edit?usp=sharing"",""สุโขทัย!M453"")"),0)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IFERROR(__xludf.DUMMYFUNCTION("IMPORTRANGE(""https://docs.google.com/spreadsheets/d/11923uPwbBZFjjGgGUA6NLw09EwE0CqkOc4q9oUmW1yo/edit?usp=sharing"",""สุโขทัย!M454"")"),0)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IFERROR(__xludf.DUMMYFUNCTION("IMPORTRANGE(""https://docs.google.com/spreadsheets/d/11923uPwbBZFjjGgGUA6NLw09EwE0CqkOc4q9oUmW1yo/edit?usp=sharing"",""สุโขทัย!I455"")"),0)</f>
        <v>0</v>
      </c>
      <c r="J560" s="170">
        <f ca="1">IFERROR(__xludf.DUMMYFUNCTION("IMPORTRANGE(""https://docs.google.com/spreadsheets/d/11923uPwbBZFjjGgGUA6NLw09EwE0CqkOc4q9oUmW1yo/edit?usp=sharing"",""สุโขทัย!J455"")"),0)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IFERROR(__xludf.DUMMYFUNCTION("IMPORTRANGE(""https://docs.google.com/spreadsheets/d/11923uPwbBZFjjGgGUA6NLw09EwE0CqkOc4q9oUmW1yo/edit?usp=sharing"",""สุโขทัย!I456"")"),0)</f>
        <v>0</v>
      </c>
      <c r="J561" s="213">
        <f ca="1">IFERROR(__xludf.DUMMYFUNCTION("IMPORTRANGE(""https://docs.google.com/spreadsheets/d/11923uPwbBZFjjGgGUA6NLw09EwE0CqkOc4q9oUmW1yo/edit?usp=sharing"",""สุโขทัย!J456"")"),0)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 t="str">
        <f ca="1">IFERROR(__xludf.DUMMYFUNCTION("IMPORTRANGE(""https://docs.google.com/spreadsheets/d/11923uPwbBZFjjGgGUA6NLw09EwE0CqkOc4q9oUmW1yo/edit?usp=sharing"",""สุโขทัย!I457"")"),"")</f>
        <v/>
      </c>
      <c r="J562" s="213" t="str">
        <f ca="1">IFERROR(__xludf.DUMMYFUNCTION("IMPORTRANGE(""https://docs.google.com/spreadsheets/d/11923uPwbBZFjjGgGUA6NLw09EwE0CqkOc4q9oUmW1yo/edit?usp=sharing"",""สุโขทัย!J457"")"),"")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 t="str">
        <f ca="1">IFERROR(__xludf.DUMMYFUNCTION("IMPORTRANGE(""https://docs.google.com/spreadsheets/d/11923uPwbBZFjjGgGUA6NLw09EwE0CqkOc4q9oUmW1yo/edit?usp=sharing"",""สุโขทัย!I458"")"),"")</f>
        <v/>
      </c>
      <c r="J563" s="197" t="str">
        <f ca="1">IFERROR(__xludf.DUMMYFUNCTION("IMPORTRANGE(""https://docs.google.com/spreadsheets/d/11923uPwbBZFjjGgGUA6NLw09EwE0CqkOc4q9oUmW1yo/edit?usp=sharing"",""สุโขทัย!J458"")"),"")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IFERROR(__xludf.DUMMYFUNCTION("IMPORTRANGE(""https://docs.google.com/spreadsheets/d/11923uPwbBZFjjGgGUA6NLw09EwE0CqkOc4q9oUmW1yo/edit?usp=sharing"",""สุโขทัย!I459"")"),2100)</f>
        <v>2100</v>
      </c>
      <c r="J564" s="379">
        <f ca="1">IFERROR(__xludf.DUMMYFUNCTION("IMPORTRANGE(""https://docs.google.com/spreadsheets/d/11923uPwbBZFjjGgGUA6NLw09EwE0CqkOc4q9oUmW1yo/edit?usp=sharing"",""สุโขทัย!J459"")"),1233)</f>
        <v>1233</v>
      </c>
      <c r="K564" s="380">
        <f t="shared" ca="1" si="121"/>
        <v>58.714285714285715</v>
      </c>
      <c r="L564" s="381">
        <f ca="1">IFERROR(__xludf.DUMMYFUNCTION("IMPORTRANGE(""https://docs.google.com/spreadsheets/d/11923uPwbBZFjjGgGUA6NLw09EwE0CqkOc4q9oUmW1yo/edit?usp=sharing"",""สุโขทัย!L459"")"),142240)</f>
        <v>142240</v>
      </c>
      <c r="M564" s="381"/>
      <c r="N564" s="381">
        <f ca="1">IFERROR(__xludf.DUMMYFUNCTION("IMPORTRANGE(""https://docs.google.com/spreadsheets/d/11923uPwbBZFjjGgGUA6NLw09EwE0CqkOc4q9oUmW1yo/edit?usp=sharing"",""สุโขทัย!M459"")"),0)</f>
        <v>0</v>
      </c>
      <c r="O564" s="381">
        <f t="shared" ref="O564:O568" ca="1" si="122">+IF(L564&gt;0,N564*100/L564,0)</f>
        <v>0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IFERROR(__xludf.DUMMYFUNCTION("IMPORTRANGE(""https://docs.google.com/spreadsheets/d/11923uPwbBZFjjGgGUA6NLw09EwE0CqkOc4q9oUmW1yo/edit?usp=sharing"",""สุโขทัย!L460"")"),0)</f>
        <v>0</v>
      </c>
      <c r="M565" s="172"/>
      <c r="N565" s="178">
        <f ca="1">IFERROR(__xludf.DUMMYFUNCTION("IMPORTRANGE(""https://docs.google.com/spreadsheets/d/11923uPwbBZFjjGgGUA6NLw09EwE0CqkOc4q9oUmW1yo/edit?usp=sharing"",""สุโขทัย!M460"")"),0)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IFERROR(__xludf.DUMMYFUNCTION("IMPORTRANGE(""https://docs.google.com/spreadsheets/d/11923uPwbBZFjjGgGUA6NLw09EwE0CqkOc4q9oUmW1yo/edit?usp=sharing"",""สุโขทัย!L461"")"),142240)</f>
        <v>142240</v>
      </c>
      <c r="M566" s="173"/>
      <c r="N566" s="178">
        <f ca="1">IFERROR(__xludf.DUMMYFUNCTION("IMPORTRANGE(""https://docs.google.com/spreadsheets/d/11923uPwbBZFjjGgGUA6NLw09EwE0CqkOc4q9oUmW1yo/edit?usp=sharing"",""สุโขทัย!M461"")"),0)</f>
        <v>0</v>
      </c>
      <c r="O566" s="178">
        <f t="shared" ca="1" si="122"/>
        <v>0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IFERROR(__xludf.DUMMYFUNCTION("IMPORTRANGE(""https://docs.google.com/spreadsheets/d/11923uPwbBZFjjGgGUA6NLw09EwE0CqkOc4q9oUmW1yo/edit?usp=sharing"",""สุโขทัย!L462"")"),0)</f>
        <v>0</v>
      </c>
      <c r="M567" s="178"/>
      <c r="N567" s="178">
        <f ca="1">IFERROR(__xludf.DUMMYFUNCTION("IMPORTRANGE(""https://docs.google.com/spreadsheets/d/11923uPwbBZFjjGgGUA6NLw09EwE0CqkOc4q9oUmW1yo/edit?usp=sharing"",""สุโขทัย!M462"")"),0)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IFERROR(__xludf.DUMMYFUNCTION("IMPORTRANGE(""https://docs.google.com/spreadsheets/d/11923uPwbBZFjjGgGUA6NLw09EwE0CqkOc4q9oUmW1yo/edit?usp=sharing"",""สุโขทัย!L463"")"),142240)</f>
        <v>142240</v>
      </c>
      <c r="M568" s="178"/>
      <c r="N568" s="178">
        <f ca="1">IFERROR(__xludf.DUMMYFUNCTION("IMPORTRANGE(""https://docs.google.com/spreadsheets/d/11923uPwbBZFjjGgGUA6NLw09EwE0CqkOc4q9oUmW1yo/edit?usp=sharing"",""สุโขทัย!M463"")"),0)</f>
        <v>0</v>
      </c>
      <c r="O568" s="178">
        <f t="shared" ca="1" si="122"/>
        <v>0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IFERROR(__xludf.DUMMYFUNCTION("IMPORTRANGE(""https://docs.google.com/spreadsheets/d/11923uPwbBZFjjGgGUA6NLw09EwE0CqkOc4q9oUmW1yo/edit?usp=sharing"",""สุโขทัย!M464"")"),0)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IFERROR(__xludf.DUMMYFUNCTION("IMPORTRANGE(""https://docs.google.com/spreadsheets/d/11923uPwbBZFjjGgGUA6NLw09EwE0CqkOc4q9oUmW1yo/edit?usp=sharing"",""สุโขทัย!M465"")"),0)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IFERROR(__xludf.DUMMYFUNCTION("IMPORTRANGE(""https://docs.google.com/spreadsheets/d/11923uPwbBZFjjGgGUA6NLw09EwE0CqkOc4q9oUmW1yo/edit?usp=sharing"",""สุโขทัย!M466"")"),0)</f>
        <v>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IFERROR(__xludf.DUMMYFUNCTION("IMPORTRANGE(""https://docs.google.com/spreadsheets/d/11923uPwbBZFjjGgGUA6NLw09EwE0CqkOc4q9oUmW1yo/edit?usp=sharing"",""สุโขทัย!M467"")"),0)</f>
        <v>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IFERROR(__xludf.DUMMYFUNCTION("IMPORTRANGE(""https://docs.google.com/spreadsheets/d/11923uPwbBZFjjGgGUA6NLw09EwE0CqkOc4q9oUmW1yo/edit?usp=sharing"",""สุโขทัย!I468"")"),2100)</f>
        <v>2100</v>
      </c>
      <c r="J573" s="428">
        <f ca="1">IFERROR(__xludf.DUMMYFUNCTION("IMPORTRANGE(""https://docs.google.com/spreadsheets/d/11923uPwbBZFjjGgGUA6NLw09EwE0CqkOc4q9oUmW1yo/edit?usp=sharing"",""สุโขทัย!J468"")"),1233)</f>
        <v>1233</v>
      </c>
      <c r="K573" s="211">
        <f ca="1">IF(I573&gt;0,J573*100/I573,0)</f>
        <v>58.714285714285715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IFERROR(__xludf.DUMMYFUNCTION("IMPORTRANGE(""https://docs.google.com/spreadsheets/d/11923uPwbBZFjjGgGUA6NLw09EwE0CqkOc4q9oUmW1yo/edit?usp=sharing"",""สุโขทัย!I470"")"),0)</f>
        <v>0</v>
      </c>
      <c r="J575" s="207">
        <f ca="1">IFERROR(__xludf.DUMMYFUNCTION("IMPORTRANGE(""https://docs.google.com/spreadsheets/d/11923uPwbBZFjjGgGUA6NLw09EwE0CqkOc4q9oUmW1yo/edit?usp=sharing"",""สุโขทัย!J470"")"),1)</f>
        <v>1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IFERROR(__xludf.DUMMYFUNCTION("IMPORTRANGE(""https://docs.google.com/spreadsheets/d/11923uPwbBZFjjGgGUA6NLw09EwE0CqkOc4q9oUmW1yo/edit?usp=sharing"",""สุโขทัย!I471"")"),0)</f>
        <v>0</v>
      </c>
      <c r="J576" s="207">
        <f ca="1">IFERROR(__xludf.DUMMYFUNCTION("IMPORTRANGE(""https://docs.google.com/spreadsheets/d/11923uPwbBZFjjGgGUA6NLw09EwE0CqkOc4q9oUmW1yo/edit?usp=sharing"",""สุโขทัย!J471"")"),65)</f>
        <v>65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IFERROR(__xludf.DUMMYFUNCTION("IMPORTRANGE(""https://docs.google.com/spreadsheets/d/11923uPwbBZFjjGgGUA6NLw09EwE0CqkOc4q9oUmW1yo/edit?usp=sharing"",""สุโขทัย!I472"")"),0)</f>
        <v>0</v>
      </c>
      <c r="J577" s="198">
        <f ca="1">IFERROR(__xludf.DUMMYFUNCTION("IMPORTRANGE(""https://docs.google.com/spreadsheets/d/11923uPwbBZFjjGgGUA6NLw09EwE0CqkOc4q9oUmW1yo/edit?usp=sharing"",""สุโขทัย!J472"")"),1168)</f>
        <v>1168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IFERROR(__xludf.DUMMYFUNCTION("IMPORTRANGE(""https://docs.google.com/spreadsheets/d/11923uPwbBZFjjGgGUA6NLw09EwE0CqkOc4q9oUmW1yo/edit?usp=sharing"",""สุโขทัย!I473"")"),0)</f>
        <v>0</v>
      </c>
      <c r="J578" s="207">
        <f ca="1">IFERROR(__xludf.DUMMYFUNCTION("IMPORTRANGE(""https://docs.google.com/spreadsheets/d/11923uPwbBZFjjGgGUA6NLw09EwE0CqkOc4q9oUmW1yo/edit?usp=sharing"",""สุโขทัย!J473"")"),0)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IFERROR(__xludf.DUMMYFUNCTION("IMPORTRANGE(""https://docs.google.com/spreadsheets/d/11923uPwbBZFjjGgGUA6NLw09EwE0CqkOc4q9oUmW1yo/edit?usp=sharing"",""สุโขทัย!I474"")"),0)</f>
        <v>0</v>
      </c>
      <c r="J579" s="207">
        <f ca="1">IFERROR(__xludf.DUMMYFUNCTION("IMPORTRANGE(""https://docs.google.com/spreadsheets/d/11923uPwbBZFjjGgGUA6NLw09EwE0CqkOc4q9oUmW1yo/edit?usp=sharing"",""สุโขทัย!J474"")"),0)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IFERROR(__xludf.DUMMYFUNCTION("IMPORTRANGE(""https://docs.google.com/spreadsheets/d/11923uPwbBZFjjGgGUA6NLw09EwE0CqkOc4q9oUmW1yo/edit?usp=sharing"",""สุโขทัย!I475"")"),90)</f>
        <v>90</v>
      </c>
      <c r="J580" s="379">
        <f ca="1">IFERROR(__xludf.DUMMYFUNCTION("IMPORTRANGE(""https://docs.google.com/spreadsheets/d/11923uPwbBZFjjGgGUA6NLw09EwE0CqkOc4q9oUmW1yo/edit?usp=sharing"",""สุโขทัย!J475"")"),0)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IFERROR(__xludf.DUMMYFUNCTION("IMPORTRANGE(""https://docs.google.com/spreadsheets/d/11923uPwbBZFjjGgGUA6NLw09EwE0CqkOc4q9oUmW1yo/edit?usp=sharing"",""สุโขทัย!L475"")"),296190)</f>
        <v>296190</v>
      </c>
      <c r="M580" s="381"/>
      <c r="N580" s="381">
        <f ca="1">IFERROR(__xludf.DUMMYFUNCTION("IMPORTRANGE(""https://docs.google.com/spreadsheets/d/11923uPwbBZFjjGgGUA6NLw09EwE0CqkOc4q9oUmW1yo/edit?usp=sharing"",""สุโขทัย!M475"")"),0)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IFERROR(__xludf.DUMMYFUNCTION("IMPORTRANGE(""https://docs.google.com/spreadsheets/d/11923uPwbBZFjjGgGUA6NLw09EwE0CqkOc4q9oUmW1yo/edit?usp=sharing"",""สุโขทัย!L476"")"),0)</f>
        <v>0</v>
      </c>
      <c r="M581" s="172"/>
      <c r="N581" s="178">
        <f ca="1">IFERROR(__xludf.DUMMYFUNCTION("IMPORTRANGE(""https://docs.google.com/spreadsheets/d/11923uPwbBZFjjGgGUA6NLw09EwE0CqkOc4q9oUmW1yo/edit?usp=sharing"",""สุโขทัย!M476"")"),0)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IFERROR(__xludf.DUMMYFUNCTION("IMPORTRANGE(""https://docs.google.com/spreadsheets/d/11923uPwbBZFjjGgGUA6NLw09EwE0CqkOc4q9oUmW1yo/edit?usp=sharing"",""สุโขทัย!L477"")"),296190)</f>
        <v>296190</v>
      </c>
      <c r="M582" s="173"/>
      <c r="N582" s="178">
        <f ca="1">IFERROR(__xludf.DUMMYFUNCTION("IMPORTRANGE(""https://docs.google.com/spreadsheets/d/11923uPwbBZFjjGgGUA6NLw09EwE0CqkOc4q9oUmW1yo/edit?usp=sharing"",""สุโขทัย!M477"")"),0)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IFERROR(__xludf.DUMMYFUNCTION("IMPORTRANGE(""https://docs.google.com/spreadsheets/d/11923uPwbBZFjjGgGUA6NLw09EwE0CqkOc4q9oUmW1yo/edit?usp=sharing"",""สุโขทัย!L478"")"),0)</f>
        <v>0</v>
      </c>
      <c r="M583" s="178"/>
      <c r="N583" s="178">
        <f ca="1">IFERROR(__xludf.DUMMYFUNCTION("IMPORTRANGE(""https://docs.google.com/spreadsheets/d/11923uPwbBZFjjGgGUA6NLw09EwE0CqkOc4q9oUmW1yo/edit?usp=sharing"",""สุโขทัย!M478"")"),0)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IFERROR(__xludf.DUMMYFUNCTION("IMPORTRANGE(""https://docs.google.com/spreadsheets/d/11923uPwbBZFjjGgGUA6NLw09EwE0CqkOc4q9oUmW1yo/edit?usp=sharing"",""สุโขทัย!L479"")"),296190)</f>
        <v>296190</v>
      </c>
      <c r="M584" s="178"/>
      <c r="N584" s="178">
        <f ca="1">IFERROR(__xludf.DUMMYFUNCTION("IMPORTRANGE(""https://docs.google.com/spreadsheets/d/11923uPwbBZFjjGgGUA6NLw09EwE0CqkOc4q9oUmW1yo/edit?usp=sharing"",""สุโขทัย!M479"")"),0)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IFERROR(__xludf.DUMMYFUNCTION("IMPORTRANGE(""https://docs.google.com/spreadsheets/d/11923uPwbBZFjjGgGUA6NLw09EwE0CqkOc4q9oUmW1yo/edit?usp=sharing"",""สุโขทัย!M480"")"),0)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IFERROR(__xludf.DUMMYFUNCTION("IMPORTRANGE(""https://docs.google.com/spreadsheets/d/11923uPwbBZFjjGgGUA6NLw09EwE0CqkOc4q9oUmW1yo/edit?usp=sharing"",""สุโขทัย!M481"")"),0)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IFERROR(__xludf.DUMMYFUNCTION("IMPORTRANGE(""https://docs.google.com/spreadsheets/d/11923uPwbBZFjjGgGUA6NLw09EwE0CqkOc4q9oUmW1yo/edit?usp=sharing"",""สุโขทัย!M482"")"),0)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IFERROR(__xludf.DUMMYFUNCTION("IMPORTRANGE(""https://docs.google.com/spreadsheets/d/11923uPwbBZFjjGgGUA6NLw09EwE0CqkOc4q9oUmW1yo/edit?usp=sharing"",""สุโขทัย!M483"")"),0)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IFERROR(__xludf.DUMMYFUNCTION("IMPORTRANGE(""https://docs.google.com/spreadsheets/d/11923uPwbBZFjjGgGUA6NLw09EwE0CqkOc4q9oUmW1yo/edit?usp=sharing"",""สุโขทัย!I484"")"),90)</f>
        <v>90</v>
      </c>
      <c r="J589" s="197">
        <f ca="1">IFERROR(__xludf.DUMMYFUNCTION("IMPORTRANGE(""https://docs.google.com/spreadsheets/d/11923uPwbBZFjjGgGUA6NLw09EwE0CqkOc4q9oUmW1yo/edit?usp=sharing"",""สุโขทัย!J484"")"),0)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IFERROR(__xludf.DUMMYFUNCTION("IMPORTRANGE(""https://docs.google.com/spreadsheets/d/11923uPwbBZFjjGgGUA6NLw09EwE0CqkOc4q9oUmW1yo/edit?usp=sharing"",""สุโขทัย!I485"")"),0)</f>
        <v>0</v>
      </c>
      <c r="J590" s="197">
        <f ca="1">IFERROR(__xludf.DUMMYFUNCTION("IMPORTRANGE(""https://docs.google.com/spreadsheets/d/11923uPwbBZFjjGgGUA6NLw09EwE0CqkOc4q9oUmW1yo/edit?usp=sharing"",""สุโขทัย!J485"")"),0)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IFERROR(__xludf.DUMMYFUNCTION("IMPORTRANGE(""https://docs.google.com/spreadsheets/d/11923uPwbBZFjjGgGUA6NLw09EwE0CqkOc4q9oUmW1yo/edit?usp=sharing"",""สุโขทัย!I486"")"),90)</f>
        <v>90</v>
      </c>
      <c r="J591" s="197">
        <f ca="1">IFERROR(__xludf.DUMMYFUNCTION("IMPORTRANGE(""https://docs.google.com/spreadsheets/d/11923uPwbBZFjjGgGUA6NLw09EwE0CqkOc4q9oUmW1yo/edit?usp=sharing"",""สุโขทัย!J486"")"),21)</f>
        <v>21</v>
      </c>
      <c r="K591" s="171">
        <f t="shared" ca="1" si="125"/>
        <v>23.333333333333332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IFERROR(__xludf.DUMMYFUNCTION("IMPORTRANGE(""https://docs.google.com/spreadsheets/d/11923uPwbBZFjjGgGUA6NLw09EwE0CqkOc4q9oUmW1yo/edit?usp=sharing"",""สุโขทัย!I487"")"),0)</f>
        <v>0</v>
      </c>
      <c r="J592" s="197">
        <f ca="1">IFERROR(__xludf.DUMMYFUNCTION("IMPORTRANGE(""https://docs.google.com/spreadsheets/d/11923uPwbBZFjjGgGUA6NLw09EwE0CqkOc4q9oUmW1yo/edit?usp=sharing"",""สุโขทัย!J487"")"),23.95)</f>
        <v>23.95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IFERROR(__xludf.DUMMYFUNCTION("IMPORTRANGE(""https://docs.google.com/spreadsheets/d/11923uPwbBZFjjGgGUA6NLw09EwE0CqkOc4q9oUmW1yo/edit?usp=sharing"",""สุโขทัย!I488"")"),90)</f>
        <v>90</v>
      </c>
      <c r="J593" s="197">
        <f ca="1">IFERROR(__xludf.DUMMYFUNCTION("IMPORTRANGE(""https://docs.google.com/spreadsheets/d/11923uPwbBZFjjGgGUA6NLw09EwE0CqkOc4q9oUmW1yo/edit?usp=sharing"",""สุโขทัย!J488"")"),0)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IFERROR(__xludf.DUMMYFUNCTION("IMPORTRANGE(""https://docs.google.com/spreadsheets/d/11923uPwbBZFjjGgGUA6NLw09EwE0CqkOc4q9oUmW1yo/edit?usp=sharing"",""สุโขทัย!I489"")"),0)</f>
        <v>0</v>
      </c>
      <c r="J594" s="197">
        <f ca="1">IFERROR(__xludf.DUMMYFUNCTION("IMPORTRANGE(""https://docs.google.com/spreadsheets/d/11923uPwbBZFjjGgGUA6NLw09EwE0CqkOc4q9oUmW1yo/edit?usp=sharing"",""สุโขทัย!J489"")"),0)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IFERROR(__xludf.DUMMYFUNCTION("IMPORTRANGE(""https://docs.google.com/spreadsheets/d/11923uPwbBZFjjGgGUA6NLw09EwE0CqkOc4q9oUmW1yo/edit?usp=sharing"",""สุโขทัย!I490"")"),90)</f>
        <v>90</v>
      </c>
      <c r="J595" s="197">
        <f ca="1">IFERROR(__xludf.DUMMYFUNCTION("IMPORTRANGE(""https://docs.google.com/spreadsheets/d/11923uPwbBZFjjGgGUA6NLw09EwE0CqkOc4q9oUmW1yo/edit?usp=sharing"",""สุโขทัย!J490"")"),0)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IFERROR(__xludf.DUMMYFUNCTION("IMPORTRANGE(""https://docs.google.com/spreadsheets/d/11923uPwbBZFjjGgGUA6NLw09EwE0CqkOc4q9oUmW1yo/edit?usp=sharing"",""สุโขทัย!I491"")"),0)</f>
        <v>0</v>
      </c>
      <c r="J596" s="250">
        <f ca="1">IFERROR(__xludf.DUMMYFUNCTION("IMPORTRANGE(""https://docs.google.com/spreadsheets/d/11923uPwbBZFjjGgGUA6NLw09EwE0CqkOc4q9oUmW1yo/edit?usp=sharing"",""สุโขทัย!J491"")"),0)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IFERROR(__xludf.DUMMYFUNCTION("IMPORTRANGE(""https://docs.google.com/spreadsheets/d/11923uPwbBZFjjGgGUA6NLw09EwE0CqkOc4q9oUmW1yo/edit?usp=sharing"",""สุโขทัย!I492"")"),100)</f>
        <v>100</v>
      </c>
      <c r="J597" s="495">
        <f ca="1">IFERROR(__xludf.DUMMYFUNCTION("IMPORTRANGE(""https://docs.google.com/spreadsheets/d/11923uPwbBZFjjGgGUA6NLw09EwE0CqkOc4q9oUmW1yo/edit?usp=sharing"",""สุโขทัย!J492"")"),0)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IFERROR(__xludf.DUMMYFUNCTION("IMPORTRANGE(""https://docs.google.com/spreadsheets/d/11923uPwbBZFjjGgGUA6NLw09EwE0CqkOc4q9oUmW1yo/edit?usp=sharing"",""สุโขทัย!L492"")"),7300)</f>
        <v>7300</v>
      </c>
      <c r="M597" s="420"/>
      <c r="N597" s="420">
        <f ca="1">IFERROR(__xludf.DUMMYFUNCTION("IMPORTRANGE(""https://docs.google.com/spreadsheets/d/11923uPwbBZFjjGgGUA6NLw09EwE0CqkOc4q9oUmW1yo/edit?usp=sharing"",""สุโขทัย!M492"")"),0)</f>
        <v>0</v>
      </c>
      <c r="O597" s="420">
        <f t="shared" ref="O597:O601" ca="1" si="126">+IF(L597&gt;0,N597*100/L597,0)</f>
        <v>0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IFERROR(__xludf.DUMMYFUNCTION("IMPORTRANGE(""https://docs.google.com/spreadsheets/d/11923uPwbBZFjjGgGUA6NLw09EwE0CqkOc4q9oUmW1yo/edit?usp=sharing"",""สุโขทัย!L493"")"),0)</f>
        <v>0</v>
      </c>
      <c r="M598" s="172"/>
      <c r="N598" s="178">
        <f ca="1">IFERROR(__xludf.DUMMYFUNCTION("IMPORTRANGE(""https://docs.google.com/spreadsheets/d/11923uPwbBZFjjGgGUA6NLw09EwE0CqkOc4q9oUmW1yo/edit?usp=sharing"",""สุโขทัย!M493"")"),0)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IFERROR(__xludf.DUMMYFUNCTION("IMPORTRANGE(""https://docs.google.com/spreadsheets/d/11923uPwbBZFjjGgGUA6NLw09EwE0CqkOc4q9oUmW1yo/edit?usp=sharing"",""สุโขทัย!L494"")"),7300)</f>
        <v>7300</v>
      </c>
      <c r="M599" s="173"/>
      <c r="N599" s="178">
        <f ca="1">IFERROR(__xludf.DUMMYFUNCTION("IMPORTRANGE(""https://docs.google.com/spreadsheets/d/11923uPwbBZFjjGgGUA6NLw09EwE0CqkOc4q9oUmW1yo/edit?usp=sharing"",""สุโขทัย!M494"")"),0)</f>
        <v>0</v>
      </c>
      <c r="O599" s="178">
        <f t="shared" ca="1" si="126"/>
        <v>0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IFERROR(__xludf.DUMMYFUNCTION("IMPORTRANGE(""https://docs.google.com/spreadsheets/d/11923uPwbBZFjjGgGUA6NLw09EwE0CqkOc4q9oUmW1yo/edit?usp=sharing"",""สุโขทัย!L495"")"),0)</f>
        <v>0</v>
      </c>
      <c r="M600" s="178"/>
      <c r="N600" s="178">
        <f ca="1">IFERROR(__xludf.DUMMYFUNCTION("IMPORTRANGE(""https://docs.google.com/spreadsheets/d/11923uPwbBZFjjGgGUA6NLw09EwE0CqkOc4q9oUmW1yo/edit?usp=sharing"",""สุโขทัย!M495"")"),0)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IFERROR(__xludf.DUMMYFUNCTION("IMPORTRANGE(""https://docs.google.com/spreadsheets/d/11923uPwbBZFjjGgGUA6NLw09EwE0CqkOc4q9oUmW1yo/edit?usp=sharing"",""สุโขทัย!L496"")"),7300)</f>
        <v>7300</v>
      </c>
      <c r="M601" s="178"/>
      <c r="N601" s="178">
        <f ca="1">IFERROR(__xludf.DUMMYFUNCTION("IMPORTRANGE(""https://docs.google.com/spreadsheets/d/11923uPwbBZFjjGgGUA6NLw09EwE0CqkOc4q9oUmW1yo/edit?usp=sharing"",""สุโขทัย!M496"")"),0)</f>
        <v>0</v>
      </c>
      <c r="O601" s="178">
        <f t="shared" ca="1" si="126"/>
        <v>0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IFERROR(__xludf.DUMMYFUNCTION("IMPORTRANGE(""https://docs.google.com/spreadsheets/d/11923uPwbBZFjjGgGUA6NLw09EwE0CqkOc4q9oUmW1yo/edit?usp=sharing"",""สุโขทัย!M497"")"),0)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IFERROR(__xludf.DUMMYFUNCTION("IMPORTRANGE(""https://docs.google.com/spreadsheets/d/11923uPwbBZFjjGgGUA6NLw09EwE0CqkOc4q9oUmW1yo/edit?usp=sharing"",""สุโขทัย!M498"")"),0)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IFERROR(__xludf.DUMMYFUNCTION("IMPORTRANGE(""https://docs.google.com/spreadsheets/d/11923uPwbBZFjjGgGUA6NLw09EwE0CqkOc4q9oUmW1yo/edit?usp=sharing"",""สุโขทัย!M499"")"),0)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IFERROR(__xludf.DUMMYFUNCTION("IMPORTRANGE(""https://docs.google.com/spreadsheets/d/11923uPwbBZFjjGgGUA6NLw09EwE0CqkOc4q9oUmW1yo/edit?usp=sharing"",""สุโขทัย!M500"")"),0)</f>
        <v>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IFERROR(__xludf.DUMMYFUNCTION("IMPORTRANGE(""https://docs.google.com/spreadsheets/d/11923uPwbBZFjjGgGUA6NLw09EwE0CqkOc4q9oUmW1yo/edit?usp=sharing"",""สุโขทัย!J502"")"),0)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IFERROR(__xludf.DUMMYFUNCTION("IMPORTRANGE(""https://docs.google.com/spreadsheets/d/11923uPwbBZFjjGgGUA6NLw09EwE0CqkOc4q9oUmW1yo/edit?usp=sharing"",""สุโขทัย!J503"")"),1)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IFERROR(__xludf.DUMMYFUNCTION("IMPORTRANGE(""https://docs.google.com/spreadsheets/d/11923uPwbBZFjjGgGUA6NLw09EwE0CqkOc4q9oUmW1yo/edit?usp=sharing"",""สุโขทัย!J166"")"),0)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IFERROR(__xludf.DUMMYFUNCTION("IMPORTRANGE(""https://docs.google.com/spreadsheets/d/11923uPwbBZFjjGgGUA6NLw09EwE0CqkOc4q9oUmW1yo/edit?usp=sharing"",""สุโขทัย!J166"")"),0)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IFERROR(__xludf.DUMMYFUNCTION("IMPORTRANGE(""https://docs.google.com/spreadsheets/d/11923uPwbBZFjjGgGUA6NLw09EwE0CqkOc4q9oUmW1yo/edit?usp=sharing"",""สุโขทัย!I506"")"),100)</f>
        <v>100</v>
      </c>
      <c r="J611" s="170">
        <f ca="1">IFERROR(__xludf.DUMMYFUNCTION("IMPORTRANGE(""https://docs.google.com/spreadsheets/d/11923uPwbBZFjjGgGUA6NLw09EwE0CqkOc4q9oUmW1yo/edit?usp=sharing"",""สุโขทัย!J506"")"),0)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IFERROR(__xludf.DUMMYFUNCTION("IMPORTRANGE(""https://docs.google.com/spreadsheets/d/11923uPwbBZFjjGgGUA6NLw09EwE0CqkOc4q9oUmW1yo/edit?usp=sharing"",""สุโขทัย!I507"")"),0)</f>
        <v>0</v>
      </c>
      <c r="J612" s="207">
        <f ca="1">IFERROR(__xludf.DUMMYFUNCTION("IMPORTRANGE(""https://docs.google.com/spreadsheets/d/11923uPwbBZFjjGgGUA6NLw09EwE0CqkOc4q9oUmW1yo/edit?usp=sharing"",""สุโขทัย!J507"")"),0)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IFERROR(__xludf.DUMMYFUNCTION("IMPORTRANGE(""https://docs.google.com/spreadsheets/d/11923uPwbBZFjjGgGUA6NLw09EwE0CqkOc4q9oUmW1yo/edit?usp=sharing"",""สุโขทัย!I508"")"),0)</f>
        <v>0</v>
      </c>
      <c r="J613" s="207">
        <f ca="1">IFERROR(__xludf.DUMMYFUNCTION("IMPORTRANGE(""https://docs.google.com/spreadsheets/d/11923uPwbBZFjjGgGUA6NLw09EwE0CqkOc4q9oUmW1yo/edit?usp=sharing"",""สุโขทัย!J508"")"),0)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IFERROR(__xludf.DUMMYFUNCTION("IMPORTRANGE(""https://docs.google.com/spreadsheets/d/11923uPwbBZFjjGgGUA6NLw09EwE0CqkOc4q9oUmW1yo/edit?usp=sharing"",""สุโขทัย!I509"")"),0)</f>
        <v>0</v>
      </c>
      <c r="J614" s="207">
        <f ca="1">IFERROR(__xludf.DUMMYFUNCTION("IMPORTRANGE(""https://docs.google.com/spreadsheets/d/11923uPwbBZFjjGgGUA6NLw09EwE0CqkOc4q9oUmW1yo/edit?usp=sharing"",""สุโขทัย!J509"")"),0)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IFERROR(__xludf.DUMMYFUNCTION("IMPORTRANGE(""https://docs.google.com/spreadsheets/d/11923uPwbBZFjjGgGUA6NLw09EwE0CqkOc4q9oUmW1yo/edit?usp=sharing"",""สุโขทัย!I510"")"),0)</f>
        <v>0</v>
      </c>
      <c r="J615" s="207">
        <f ca="1">IFERROR(__xludf.DUMMYFUNCTION("IMPORTRANGE(""https://docs.google.com/spreadsheets/d/11923uPwbBZFjjGgGUA6NLw09EwE0CqkOc4q9oUmW1yo/edit?usp=sharing"",""สุโขทัย!J510"")"),0)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IFERROR(__xludf.DUMMYFUNCTION("IMPORTRANGE(""https://docs.google.com/spreadsheets/d/11923uPwbBZFjjGgGUA6NLw09EwE0CqkOc4q9oUmW1yo/edit?usp=sharing"",""สุโขทัย!I511"")"),0)</f>
        <v>0</v>
      </c>
      <c r="J616" s="207">
        <f ca="1">IFERROR(__xludf.DUMMYFUNCTION("IMPORTRANGE(""https://docs.google.com/spreadsheets/d/11923uPwbBZFjjGgGUA6NLw09EwE0CqkOc4q9oUmW1yo/edit?usp=sharing"",""สุโขทัย!J511"")"),0)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IFERROR(__xludf.DUMMYFUNCTION("IMPORTRANGE(""https://docs.google.com/spreadsheets/d/11923uPwbBZFjjGgGUA6NLw09EwE0CqkOc4q9oUmW1yo/edit?usp=sharing"",""สุโขทัย!I512"")"),0)</f>
        <v>0</v>
      </c>
      <c r="J617" s="197">
        <f ca="1">IFERROR(__xludf.DUMMYFUNCTION("IMPORTRANGE(""https://docs.google.com/spreadsheets/d/11923uPwbBZFjjGgGUA6NLw09EwE0CqkOc4q9oUmW1yo/edit?usp=sharing"",""สุโขทัย!J512"")"),0)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IFERROR(__xludf.DUMMYFUNCTION("IMPORTRANGE(""https://docs.google.com/spreadsheets/d/11923uPwbBZFjjGgGUA6NLw09EwE0CqkOc4q9oUmW1yo/edit?usp=sharing"",""สุโขทัย!I513"")"),0)</f>
        <v>0</v>
      </c>
      <c r="J618" s="198">
        <f ca="1">IFERROR(__xludf.DUMMYFUNCTION("IMPORTRANGE(""https://docs.google.com/spreadsheets/d/11923uPwbBZFjjGgGUA6NLw09EwE0CqkOc4q9oUmW1yo/edit?usp=sharing"",""สุโขทัย!J513"")"),0)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IFERROR(__xludf.DUMMYFUNCTION("IMPORTRANGE(""https://docs.google.com/spreadsheets/d/11923uPwbBZFjjGgGUA6NLw09EwE0CqkOc4q9oUmW1yo/edit?usp=sharing"",""สุโขทัย!I514"")"),0)</f>
        <v>0</v>
      </c>
      <c r="J619" s="198">
        <f ca="1">IFERROR(__xludf.DUMMYFUNCTION("IMPORTRANGE(""https://docs.google.com/spreadsheets/d/11923uPwbBZFjjGgGUA6NLw09EwE0CqkOc4q9oUmW1yo/edit?usp=sharing"",""สุโขทัย!J514"")"),0)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IFERROR(__xludf.DUMMYFUNCTION("IMPORTRANGE(""https://docs.google.com/spreadsheets/d/11923uPwbBZFjjGgGUA6NLw09EwE0CqkOc4q9oUmW1yo/edit?usp=sharing"",""สุโขทัย!I515"")"),0)</f>
        <v>0</v>
      </c>
      <c r="J620" s="212">
        <f ca="1">IFERROR(__xludf.DUMMYFUNCTION("IMPORTRANGE(""https://docs.google.com/spreadsheets/d/11923uPwbBZFjjGgGUA6NLw09EwE0CqkOc4q9oUmW1yo/edit?usp=sharing"",""สุโขทัย!J515"")"),0)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IFERROR(__xludf.DUMMYFUNCTION("IMPORTRANGE(""https://docs.google.com/spreadsheets/d/11923uPwbBZFjjGgGUA6NLw09EwE0CqkOc4q9oUmW1yo/edit?usp=sharing"",""สุโขทัย!I516"")"),0)</f>
        <v>0</v>
      </c>
      <c r="J621" s="212">
        <f ca="1">IFERROR(__xludf.DUMMYFUNCTION("IMPORTRANGE(""https://docs.google.com/spreadsheets/d/11923uPwbBZFjjGgGUA6NLw09EwE0CqkOc4q9oUmW1yo/edit?usp=sharing"",""สุโขทัย!J516"")"),0)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IFERROR(__xludf.DUMMYFUNCTION("IMPORTRANGE(""https://docs.google.com/spreadsheets/d/11923uPwbBZFjjGgGUA6NLw09EwE0CqkOc4q9oUmW1yo/edit?usp=sharing"",""สุโขทัย!I517"")"),0)</f>
        <v>0</v>
      </c>
      <c r="J622" s="198">
        <f ca="1">IFERROR(__xludf.DUMMYFUNCTION("IMPORTRANGE(""https://docs.google.com/spreadsheets/d/11923uPwbBZFjjGgGUA6NLw09EwE0CqkOc4q9oUmW1yo/edit?usp=sharing"",""สุโขทัย!J517"")"),0)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IFERROR(__xludf.DUMMYFUNCTION("IMPORTRANGE(""https://docs.google.com/spreadsheets/d/11923uPwbBZFjjGgGUA6NLw09EwE0CqkOc4q9oUmW1yo/edit?usp=sharing"",""สุโขทัย!I518"")"),0)</f>
        <v>0</v>
      </c>
      <c r="J623" s="198">
        <f ca="1">IFERROR(__xludf.DUMMYFUNCTION("IMPORTRANGE(""https://docs.google.com/spreadsheets/d/11923uPwbBZFjjGgGUA6NLw09EwE0CqkOc4q9oUmW1yo/edit?usp=sharing"",""สุโขทัย!J518"")"),0)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IFERROR(__xludf.DUMMYFUNCTION("IMPORTRANGE(""https://docs.google.com/spreadsheets/d/11923uPwbBZFjjGgGUA6NLw09EwE0CqkOc4q9oUmW1yo/edit?usp=sharing"",""สุโขทัย!I519"")"),0)</f>
        <v>0</v>
      </c>
      <c r="J624" s="197">
        <f ca="1">IFERROR(__xludf.DUMMYFUNCTION("IMPORTRANGE(""https://docs.google.com/spreadsheets/d/11923uPwbBZFjjGgGUA6NLw09EwE0CqkOc4q9oUmW1yo/edit?usp=sharing"",""สุโขทัย!J519"")"),0)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IFERROR(__xludf.DUMMYFUNCTION("IMPORTRANGE(""https://docs.google.com/spreadsheets/d/11923uPwbBZFjjGgGUA6NLw09EwE0CqkOc4q9oUmW1yo/edit?usp=sharing"",""สุโขทัย!I520"")"),0)</f>
        <v>0</v>
      </c>
      <c r="J625" s="198">
        <f ca="1">IFERROR(__xludf.DUMMYFUNCTION("IMPORTRANGE(""https://docs.google.com/spreadsheets/d/11923uPwbBZFjjGgGUA6NLw09EwE0CqkOc4q9oUmW1yo/edit?usp=sharing"",""สุโขทัย!J520"")"),0)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IFERROR(__xludf.DUMMYFUNCTION("IMPORTRANGE(""https://docs.google.com/spreadsheets/d/11923uPwbBZFjjGgGUA6NLw09EwE0CqkOc4q9oUmW1yo/edit?usp=sharing"",""สุโขทัย!I521"")"),0)</f>
        <v>0</v>
      </c>
      <c r="J626" s="198">
        <f ca="1">IFERROR(__xludf.DUMMYFUNCTION("IMPORTRANGE(""https://docs.google.com/spreadsheets/d/11923uPwbBZFjjGgGUA6NLw09EwE0CqkOc4q9oUmW1yo/edit?usp=sharing"",""สุโขทัย!J521"")"),0)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49">
        <f ca="1">IFERROR(__xludf.DUMMYFUNCTION("IMPORTRANGE(""https://docs.google.com/spreadsheets/d/11923uPwbBZFjjGgGUA6NLw09EwE0CqkOc4q9oUmW1yo/edit?usp=sharing"",""สุโขทัย!J523"")"),1057906.06)</f>
        <v>1057906.06</v>
      </c>
      <c r="K628" s="350">
        <f t="shared" ref="K628:K635" ca="1" si="129">IF(I628&gt;0,J628*100/I628,0)</f>
        <v>17.265646411588275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IFERROR(__xludf.DUMMYFUNCTION("IMPORTRANGE(""https://docs.google.com/spreadsheets/d/11923uPwbBZFjjGgGUA6NLw09EwE0CqkOc4q9oUmW1yo/edit?usp=sharing"",""สุโขทัย!I524"")"),426)</f>
        <v>426</v>
      </c>
      <c r="J629" s="349">
        <f ca="1">IFERROR(__xludf.DUMMYFUNCTION("IMPORTRANGE(""https://docs.google.com/spreadsheets/d/11923uPwbBZFjjGgGUA6NLw09EwE0CqkOc4q9oUmW1yo/edit?usp=sharing"",""สุโขทัย!J524"")"),74)</f>
        <v>74</v>
      </c>
      <c r="K629" s="350">
        <f t="shared" ca="1" si="129"/>
        <v>17.370892018779344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49">
        <f ca="1">IFERROR(__xludf.DUMMYFUNCTION("IMPORTRANGE(""https://docs.google.com/spreadsheets/d/11923uPwbBZFjjGgGUA6NLw09EwE0CqkOc4q9oUmW1yo/edit?usp=sharing"",""สุโขทัย!J525"")"),600372.71)</f>
        <v>600372.71</v>
      </c>
      <c r="K630" s="350">
        <f t="shared" ca="1" si="129"/>
        <v>8.5668501862422861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IFERROR(__xludf.DUMMYFUNCTION("IMPORTRANGE(""https://docs.google.com/spreadsheets/d/11923uPwbBZFjjGgGUA6NLw09EwE0CqkOc4q9oUmW1yo/edit?usp=sharing"",""สุโขทัย!I526"")"),256)</f>
        <v>256</v>
      </c>
      <c r="J631" s="349">
        <f ca="1">IFERROR(__xludf.DUMMYFUNCTION("IMPORTRANGE(""https://docs.google.com/spreadsheets/d/11923uPwbBZFjjGgGUA6NLw09EwE0CqkOc4q9oUmW1yo/edit?usp=sharing"",""สุโขทัย!J526"")"),153)</f>
        <v>153</v>
      </c>
      <c r="K631" s="350">
        <f t="shared" ca="1" si="129"/>
        <v>59.765625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IFERROR(__xludf.DUMMYFUNCTION("IMPORTRANGE(""https://docs.google.com/spreadsheets/d/11923uPwbBZFjjGgGUA6NLw09EwE0CqkOc4q9oUmW1yo/edit?usp=sharing"",""สุโขทัย!I527"")"),2664010.23)</f>
        <v>2664010.23</v>
      </c>
      <c r="J632" s="349">
        <f ca="1">IFERROR(__xludf.DUMMYFUNCTION("IMPORTRANGE(""https://docs.google.com/spreadsheets/d/11923uPwbBZFjjGgGUA6NLw09EwE0CqkOc4q9oUmW1yo/edit?usp=sharing"",""สุโขทัย!J527"")"),375723.55)</f>
        <v>375723.55</v>
      </c>
      <c r="K632" s="350">
        <f t="shared" ca="1" si="129"/>
        <v>14.103682702449683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IFERROR(__xludf.DUMMYFUNCTION("IMPORTRANGE(""https://docs.google.com/spreadsheets/d/11923uPwbBZFjjGgGUA6NLw09EwE0CqkOc4q9oUmW1yo/edit?usp=sharing"",""สุโขทัย!I528"")"),180)</f>
        <v>180</v>
      </c>
      <c r="J633" s="349">
        <f ca="1">IFERROR(__xludf.DUMMYFUNCTION("IMPORTRANGE(""https://docs.google.com/spreadsheets/d/11923uPwbBZFjjGgGUA6NLw09EwE0CqkOc4q9oUmW1yo/edit?usp=sharing"",""สุโขทัย!J528"")"),39)</f>
        <v>39</v>
      </c>
      <c r="K633" s="350">
        <f t="shared" ca="1" si="129"/>
        <v>21.666666666666668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IFERROR(__xludf.DUMMYFUNCTION("IMPORTRANGE(""https://docs.google.com/spreadsheets/d/11923uPwbBZFjjGgGUA6NLw09EwE0CqkOc4q9oUmW1yo/edit?usp=sharing"",""สุโขทัย!I529"")"),5000000)</f>
        <v>5000000</v>
      </c>
      <c r="J634" s="349">
        <f ca="1">IFERROR(__xludf.DUMMYFUNCTION("IMPORTRANGE(""https://docs.google.com/spreadsheets/d/11923uPwbBZFjjGgGUA6NLw09EwE0CqkOc4q9oUmW1yo/edit?usp=sharing"",""สุโขทัย!J529"")"),0)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IFERROR(__xludf.DUMMYFUNCTION("IMPORTRANGE(""https://docs.google.com/spreadsheets/d/11923uPwbBZFjjGgGUA6NLw09EwE0CqkOc4q9oUmW1yo/edit?usp=sharing"",""สุโขทัย!I530"")"),114)</f>
        <v>114</v>
      </c>
      <c r="J635" s="519">
        <f ca="1">IFERROR(__xludf.DUMMYFUNCTION("IMPORTRANGE(""https://docs.google.com/spreadsheets/d/11923uPwbBZFjjGgGUA6NLw09EwE0CqkOc4q9oUmW1yo/edit?usp=sharing"",""สุโขทัย!J530"")"),0)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9" sqref="J9"/>
      <selection pane="bottomLeft" activeCell="J9" sqref="J9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8.83203125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268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5721792</v>
      </c>
      <c r="M8" s="25">
        <f t="shared" ca="1" si="0"/>
        <v>1363395</v>
      </c>
      <c r="N8" s="25">
        <f t="shared" ca="1" si="0"/>
        <v>2169724.4</v>
      </c>
      <c r="O8" s="24">
        <f t="shared" ref="O8:O16" ca="1" si="1">IF(L8&gt;0,N8*100/L8,0)</f>
        <v>37.920364808787177</v>
      </c>
      <c r="P8" s="24">
        <f t="shared" ref="P8:P16" ca="1" si="2">IF(M8&gt;0,N8*100/M8,0)</f>
        <v>159.14129067511615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5721792</v>
      </c>
      <c r="M10" s="32">
        <f t="shared" ca="1" si="4"/>
        <v>1363395</v>
      </c>
      <c r="N10" s="32">
        <f t="shared" ca="1" si="4"/>
        <v>2169724.4</v>
      </c>
      <c r="O10" s="31">
        <f t="shared" ca="1" si="1"/>
        <v>37.920364808787177</v>
      </c>
      <c r="P10" s="31">
        <f t="shared" ca="1" si="2"/>
        <v>159.14129067511615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4749392</v>
      </c>
      <c r="M12" s="40">
        <f t="shared" ca="1" si="6"/>
        <v>1363395</v>
      </c>
      <c r="N12" s="40">
        <f t="shared" ca="1" si="6"/>
        <v>1324294.3999999999</v>
      </c>
      <c r="O12" s="40">
        <f t="shared" ca="1" si="1"/>
        <v>27.883451187015094</v>
      </c>
      <c r="P12" s="40">
        <f t="shared" ca="1" si="2"/>
        <v>97.132115051030695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1880100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2869292</v>
      </c>
      <c r="M14" s="40">
        <f t="shared" si="8"/>
        <v>0</v>
      </c>
      <c r="N14" s="40">
        <f t="shared" ca="1" si="8"/>
        <v>335382.40000000002</v>
      </c>
      <c r="O14" s="43">
        <f t="shared" ca="1" si="1"/>
        <v>11.688681388997706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972400</v>
      </c>
      <c r="M16" s="40">
        <f t="shared" si="10"/>
        <v>0</v>
      </c>
      <c r="N16" s="40">
        <f t="shared" ca="1" si="10"/>
        <v>845430</v>
      </c>
      <c r="O16" s="52">
        <f t="shared" ca="1" si="1"/>
        <v>86.942616207322089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3520865</v>
      </c>
      <c r="M18" s="25">
        <f t="shared" ca="1" si="11"/>
        <v>1363395</v>
      </c>
      <c r="N18" s="25">
        <f t="shared" ca="1" si="11"/>
        <v>1834342</v>
      </c>
      <c r="O18" s="24">
        <f t="shared" ref="O18:O20" ca="1" si="12">IF(L18&gt;0,N18*100/L18,0)</f>
        <v>52.099185853476349</v>
      </c>
      <c r="P18" s="24">
        <f t="shared" ref="P18:P26" ca="1" si="13">IF(M18&gt;0,N18*100/M18,0)</f>
        <v>134.54222730756678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3520865</v>
      </c>
      <c r="M20" s="32">
        <f t="shared" ca="1" si="15"/>
        <v>1363395</v>
      </c>
      <c r="N20" s="32">
        <f t="shared" ca="1" si="15"/>
        <v>1834342</v>
      </c>
      <c r="O20" s="31">
        <f t="shared" ca="1" si="12"/>
        <v>52.099185853476349</v>
      </c>
      <c r="P20" s="31">
        <f t="shared" ca="1" si="13"/>
        <v>134.54222730756678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2548465</v>
      </c>
      <c r="M22" s="44">
        <f t="shared" ca="1" si="18"/>
        <v>1363395</v>
      </c>
      <c r="N22" s="43">
        <f t="shared" ca="1" si="18"/>
        <v>988912</v>
      </c>
      <c r="O22" s="43">
        <f t="shared" ca="1" si="17"/>
        <v>38.80422136462537</v>
      </c>
      <c r="P22" s="43">
        <f t="shared" ca="1" si="13"/>
        <v>72.533051683481304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1880100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668365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972400</v>
      </c>
      <c r="M26" s="52">
        <f t="shared" si="22"/>
        <v>0</v>
      </c>
      <c r="N26" s="52">
        <f t="shared" ca="1" si="22"/>
        <v>845430</v>
      </c>
      <c r="O26" s="52">
        <f t="shared" ca="1" si="17"/>
        <v>86.942616207322089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2200927</v>
      </c>
      <c r="M28" s="25">
        <f t="shared" si="23"/>
        <v>0</v>
      </c>
      <c r="N28" s="25">
        <f t="shared" ca="1" si="23"/>
        <v>335382.40000000002</v>
      </c>
      <c r="O28" s="24">
        <f t="shared" ref="O28:O30" ca="1" si="24">IF(L28&gt;0,N28*100/L28,0)</f>
        <v>15.238233707887632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2200927</v>
      </c>
      <c r="M30" s="32">
        <f t="shared" si="27"/>
        <v>0</v>
      </c>
      <c r="N30" s="32">
        <f t="shared" ca="1" si="27"/>
        <v>335382.40000000002</v>
      </c>
      <c r="O30" s="31">
        <f t="shared" ca="1" si="24"/>
        <v>15.238233707887632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2200927</v>
      </c>
      <c r="M32" s="43">
        <f t="shared" si="30"/>
        <v>0</v>
      </c>
      <c r="N32" s="43">
        <f t="shared" ca="1" si="30"/>
        <v>335382.40000000002</v>
      </c>
      <c r="O32" s="43">
        <f t="shared" ca="1" si="29"/>
        <v>15.238233707887632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2200927</v>
      </c>
      <c r="M34" s="43">
        <f t="shared" si="32"/>
        <v>0</v>
      </c>
      <c r="N34" s="43">
        <f t="shared" ca="1" si="32"/>
        <v>335382.40000000002</v>
      </c>
      <c r="O34" s="43">
        <f t="shared" ca="1" si="29"/>
        <v>15.238233707887632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3520865</v>
      </c>
      <c r="M37" s="57">
        <f t="shared" ca="1" si="33"/>
        <v>1363395</v>
      </c>
      <c r="N37" s="57">
        <f t="shared" ca="1" si="33"/>
        <v>1834342</v>
      </c>
      <c r="O37" s="58">
        <f t="shared" ca="1" si="29"/>
        <v>52.099185853476349</v>
      </c>
      <c r="P37" s="58">
        <f t="shared" ca="1" si="25"/>
        <v>134.54222730756678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1614100</v>
      </c>
      <c r="M41" s="81">
        <f t="shared" ca="1" si="34"/>
        <v>367100</v>
      </c>
      <c r="N41" s="81">
        <f t="shared" ca="1" si="34"/>
        <v>1038770</v>
      </c>
      <c r="O41" s="80">
        <f t="shared" ref="O41:O43" ca="1" si="35">IF(L41&gt;0,N41*100/L41,0)</f>
        <v>64.355987857010092</v>
      </c>
      <c r="P41" s="80">
        <f t="shared" ref="P41:P43" ca="1" si="36">IF(M41&gt;0,N41*100/M41,0)</f>
        <v>282.96649414328522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1614100</v>
      </c>
      <c r="M43" s="81">
        <f t="shared" ca="1" si="38"/>
        <v>367100</v>
      </c>
      <c r="N43" s="81">
        <f t="shared" ca="1" si="38"/>
        <v>1038770</v>
      </c>
      <c r="O43" s="80">
        <f t="shared" ca="1" si="35"/>
        <v>64.355987857010092</v>
      </c>
      <c r="P43" s="80">
        <f t="shared" ca="1" si="36"/>
        <v>282.96649414328522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734100</v>
      </c>
      <c r="M45" s="93">
        <f ca="1">IFERROR(__xludf.DUMMYFUNCTION("IMPORTRANGE(""https://docs.google.com/spreadsheets/d/1Yj_ptqi66GCucihVvJfMjLAmec39IyEx_6qawtMGysU/edit?usp=sharing"",""สบก!Q35"")"),367100)</f>
        <v>367100</v>
      </c>
      <c r="N45" s="93">
        <f ca="1">IFERROR(__xludf.DUMMYFUNCTION("IMPORTRANGE(""https://docs.google.com/spreadsheets/d/1Yj_ptqi66GCucihVvJfMjLAmec39IyEx_6qawtMGysU/edit?usp=sharing"",""สบก!R35"")"),285740)</f>
        <v>285740</v>
      </c>
      <c r="O45" s="94">
        <f ca="1">IF(L45&gt;0,N45*100/L45,0)</f>
        <v>38.923852336193981</v>
      </c>
      <c r="P45" s="94">
        <f ca="1">IF(M45&gt;0,N45*100/M45,0)</f>
        <v>77.837101607191499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IFERROR(__xludf.DUMMYFUNCTION("IMPORTRANGE(""https://docs.google.com/spreadsheets/d/1Yj_ptqi66GCucihVvJfMjLAmec39IyEx_6qawtMGysU/edit?usp=sharing"",""สบก!M35"")"),734100)</f>
        <v>734100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IFERROR(__xludf.DUMMYFUNCTION("IMPORTRANGE(""https://docs.google.com/spreadsheets/d/1Yj_ptqi66GCucihVvJfMjLAmec39IyEx_6qawtMGysU/edit?usp=sharing"",""สบก!N35"")"),0)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IFERROR(__xludf.DUMMYFUNCTION("IMPORTRANGE(""https://docs.google.com/spreadsheets/d/1Yj_ptqi66GCucihVvJfMjLAmec39IyEx_6qawtMGysU/edit?usp=sharing"",""สบก!O35"")"),880000)</f>
        <v>880000</v>
      </c>
      <c r="M49" s="103"/>
      <c r="N49" s="93">
        <f ca="1">IFERROR(__xludf.DUMMYFUNCTION("IMPORTRANGE(""https://docs.google.com/spreadsheets/d/1Yj_ptqi66GCucihVvJfMjLAmec39IyEx_6qawtMGysU/edit?usp=sharing"",""สบก!S35"")"),753030)</f>
        <v>753030</v>
      </c>
      <c r="O49" s="103">
        <f ca="1">IF(L49&gt;0,N49*100/L49,0)</f>
        <v>85.571590909090915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400000</v>
      </c>
      <c r="M53" s="127">
        <f t="shared" ca="1" si="39"/>
        <v>213500</v>
      </c>
      <c r="N53" s="127">
        <f t="shared" ca="1" si="39"/>
        <v>207951</v>
      </c>
      <c r="O53" s="126">
        <f t="shared" ref="O53:O55" ca="1" si="40">IF(L53&gt;0,N53*100/L53,0)</f>
        <v>51.987749999999998</v>
      </c>
      <c r="P53" s="126">
        <f t="shared" ref="P53:P55" ca="1" si="41">IF(M53&gt;0,N53*100/M53,0)</f>
        <v>97.400936768149876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400000</v>
      </c>
      <c r="M55" s="127">
        <f t="shared" ca="1" si="43"/>
        <v>213500</v>
      </c>
      <c r="N55" s="127">
        <f t="shared" ca="1" si="43"/>
        <v>207951</v>
      </c>
      <c r="O55" s="126">
        <f t="shared" ca="1" si="40"/>
        <v>51.987749999999998</v>
      </c>
      <c r="P55" s="126">
        <f t="shared" ca="1" si="41"/>
        <v>97.400936768149876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400000</v>
      </c>
      <c r="M57" s="93">
        <f ca="1">IFERROR(__xludf.DUMMYFUNCTION("IMPORTRANGE(""https://docs.google.com/spreadsheets/d/1Yj_ptqi66GCucihVvJfMjLAmec39IyEx_6qawtMGysU/edit?usp=sharing"",""สบก!Z35"")"),213500)</f>
        <v>213500</v>
      </c>
      <c r="N57" s="93">
        <f ca="1">IFERROR(__xludf.DUMMYFUNCTION("IMPORTRANGE(""https://docs.google.com/spreadsheets/d/1Yj_ptqi66GCucihVvJfMjLAmec39IyEx_6qawtMGysU/edit?usp=sharing"",""สบก!AA35"")"),207951)</f>
        <v>207951</v>
      </c>
      <c r="O57" s="94">
        <f ca="1">IF(L57&gt;0,N57*100/L57,0)</f>
        <v>51.987749999999998</v>
      </c>
      <c r="P57" s="94">
        <f ca="1">IF(M57&gt;0,N57*100/M57,0)</f>
        <v>97.400936768149876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IFERROR(__xludf.DUMMYFUNCTION("IMPORTRANGE(""https://docs.google.com/spreadsheets/d/1Yj_ptqi66GCucihVvJfMjLAmec39IyEx_6qawtMGysU/edit?usp=sharing"",""สบก!V35"")"),400000)</f>
        <v>400000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IFERROR(__xludf.DUMMYFUNCTION("IMPORTRANGE(""https://docs.google.com/spreadsheets/d/1Yj_ptqi66GCucihVvJfMjLAmec39IyEx_6qawtMGysU/edit?usp=sharing"",""สบก!W35"")"),0)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IFERROR(__xludf.DUMMYFUNCTION("IMPORTRANGE(""https://docs.google.com/spreadsheets/d/1Yj_ptqi66GCucihVvJfMjLAmec39IyEx_6qawtMGysU/edit?usp=sharing"",""สบก!X35"")"),0)</f>
        <v>0</v>
      </c>
      <c r="M61" s="103"/>
      <c r="N61" s="93">
        <f ca="1">IFERROR(__xludf.DUMMYFUNCTION("IMPORTRANGE(""https://docs.google.com/spreadsheets/d/1Yj_ptqi66GCucihVvJfMjLAmec39IyEx_6qawtMGysU/edit?usp=sharing"",""สบก!AB35"")"),0)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IFERROR(__xludf.DUMMYFUNCTION("IMPORTRANGE(""https://docs.google.com/spreadsheets/d/11923uPwbBZFjjGgGUA6NLw09EwE0CqkOc4q9oUmW1yo/edit?usp=sharing"",""อุตรดิตถ์!I9"")"),0)</f>
        <v>0</v>
      </c>
      <c r="J64" s="148">
        <f ca="1">IFERROR(__xludf.DUMMYFUNCTION("IMPORTRANGE(""https://docs.google.com/spreadsheets/d/11923uPwbBZFjjGgGUA6NLw09EwE0CqkOc4q9oUmW1yo/edit?usp=sharing"",""อุตรดิตถ์!J9"")"),0)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IFERROR(__xludf.DUMMYFUNCTION("IMPORTRANGE(""https://docs.google.com/spreadsheets/d/11923uPwbBZFjjGgGUA6NLw09EwE0CqkOc4q9oUmW1yo/edit?usp=sharing"",""อุตรดิตถ์!I10"")"),0)</f>
        <v>0</v>
      </c>
      <c r="J65" s="148">
        <f ca="1">IFERROR(__xludf.DUMMYFUNCTION("IMPORTRANGE(""https://docs.google.com/spreadsheets/d/11923uPwbBZFjjGgGUA6NLw09EwE0CqkOc4q9oUmW1yo/edit?usp=sharing"",""อุตรดิตถ์!J10"")"),0)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IFERROR(__xludf.DUMMYFUNCTION("IMPORTRANGE(""https://docs.google.com/spreadsheets/d/1Yj_ptqi66GCucihVvJfMjLAmec39IyEx_6qawtMGysU/edit?usp=sharing"",""สบก!AI35"")"),0)</f>
        <v>0</v>
      </c>
      <c r="N70" s="177">
        <f ca="1">IFERROR(__xludf.DUMMYFUNCTION("IMPORTRANGE(""https://docs.google.com/spreadsheets/d/1Yj_ptqi66GCucihVvJfMjLAmec39IyEx_6qawtMGysU/edit?usp=sharing"",""สบก!AJ35"")"),0)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IFERROR(__xludf.DUMMYFUNCTION("IMPORTRANGE(""https://docs.google.com/spreadsheets/d/1Yj_ptqi66GCucihVvJfMjLAmec39IyEx_6qawtMGysU/edit?usp=sharing"",""สบก!AE35"")"),0)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IFERROR(__xludf.DUMMYFUNCTION("IMPORTRANGE(""https://docs.google.com/spreadsheets/d/1Yj_ptqi66GCucihVvJfMjLAmec39IyEx_6qawtMGysU/edit?usp=sharing"",""สบก!AF35"")"),0)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IFERROR(__xludf.DUMMYFUNCTION("IMPORTRANGE(""https://docs.google.com/spreadsheets/d/1Yj_ptqi66GCucihVvJfMjLAmec39IyEx_6qawtMGysU/edit?usp=sharing"",""สบก!AG35"")"),0)</f>
        <v>0</v>
      </c>
      <c r="M74" s="103"/>
      <c r="N74" s="93">
        <f ca="1">IFERROR(__xludf.DUMMYFUNCTION("IMPORTRANGE(""https://docs.google.com/spreadsheets/d/1Yj_ptqi66GCucihVvJfMjLAmec39IyEx_6qawtMGysU/edit?usp=sharing"",""สบก!AK35"")"),0)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IFERROR(__xludf.DUMMYFUNCTION("IMPORTRANGE(""https://docs.google.com/spreadsheets/d/11923uPwbBZFjjGgGUA6NLw09EwE0CqkOc4q9oUmW1yo/edit?usp=sharing"",""อุตรดิตถ์!J16"")"),0)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IFERROR(__xludf.DUMMYFUNCTION("IMPORTRANGE(""https://docs.google.com/spreadsheets/d/11923uPwbBZFjjGgGUA6NLw09EwE0CqkOc4q9oUmW1yo/edit?usp=sharing"",""อุตรดิตถ์!J17"")"),0)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IFERROR(__xludf.DUMMYFUNCTION("IMPORTRANGE(""https://docs.google.com/spreadsheets/d/11923uPwbBZFjjGgGUA6NLw09EwE0CqkOc4q9oUmW1yo/edit?usp=sharing"",""อุตรดิตถ์!J18"")"),0)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IFERROR(__xludf.DUMMYFUNCTION("IMPORTRANGE(""https://docs.google.com/spreadsheets/d/11923uPwbBZFjjGgGUA6NLw09EwE0CqkOc4q9oUmW1yo/edit?usp=sharing"",""อุตรดิตถ์!J19"")"),0)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IFERROR(__xludf.DUMMYFUNCTION("IMPORTRANGE(""https://docs.google.com/spreadsheets/d/11923uPwbBZFjjGgGUA6NLw09EwE0CqkOc4q9oUmW1yo/edit?usp=sharing"",""อุตรดิตถ์!I20"")"),0)</f>
        <v>0</v>
      </c>
      <c r="J80" s="210">
        <f ca="1">IFERROR(__xludf.DUMMYFUNCTION("IMPORTRANGE(""https://docs.google.com/spreadsheets/d/11923uPwbBZFjjGgGUA6NLw09EwE0CqkOc4q9oUmW1yo/edit?usp=sharing"",""อุตรดิตถ์!J20"")"),0)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IFERROR(__xludf.DUMMYFUNCTION("IMPORTRANGE(""https://docs.google.com/spreadsheets/d/11923uPwbBZFjjGgGUA6NLw09EwE0CqkOc4q9oUmW1yo/edit?usp=sharing"",""อุตรดิตถ์!I21"")"),0)</f>
        <v>0</v>
      </c>
      <c r="J81" s="210">
        <f ca="1">IFERROR(__xludf.DUMMYFUNCTION("IMPORTRANGE(""https://docs.google.com/spreadsheets/d/11923uPwbBZFjjGgGUA6NLw09EwE0CqkOc4q9oUmW1yo/edit?usp=sharing"",""อุตรดิตถ์!J21"")"),0)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IFERROR(__xludf.DUMMYFUNCTION("IMPORTRANGE(""https://docs.google.com/spreadsheets/d/11923uPwbBZFjjGgGUA6NLw09EwE0CqkOc4q9oUmW1yo/edit?usp=sharing"",""อุตรดิตถ์!I22"")"),0)</f>
        <v>0</v>
      </c>
      <c r="J82" s="213">
        <f ca="1">IFERROR(__xludf.DUMMYFUNCTION("IMPORTRANGE(""https://docs.google.com/spreadsheets/d/11923uPwbBZFjjGgGUA6NLw09EwE0CqkOc4q9oUmW1yo/edit?usp=sharing"",""อุตรดิตถ์!J22"")"),0)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IFERROR(__xludf.DUMMYFUNCTION("IMPORTRANGE(""https://docs.google.com/spreadsheets/d/11923uPwbBZFjjGgGUA6NLw09EwE0CqkOc4q9oUmW1yo/edit?usp=sharing"",""อุตรดิตถ์!I23"")"),0)</f>
        <v>0</v>
      </c>
      <c r="J83" s="213">
        <f ca="1">IFERROR(__xludf.DUMMYFUNCTION("IMPORTRANGE(""https://docs.google.com/spreadsheets/d/11923uPwbBZFjjGgGUA6NLw09EwE0CqkOc4q9oUmW1yo/edit?usp=sharing"",""อุตรดิตถ์!J23"")"),0)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IFERROR(__xludf.DUMMYFUNCTION("IMPORTRANGE(""https://docs.google.com/spreadsheets/d/11923uPwbBZFjjGgGUA6NLw09EwE0CqkOc4q9oUmW1yo/edit?usp=sharing"",""อุตรดิตถ์!I24"")"),0)</f>
        <v>0</v>
      </c>
      <c r="J84" s="198">
        <f ca="1">IFERROR(__xludf.DUMMYFUNCTION("IMPORTRANGE(""https://docs.google.com/spreadsheets/d/11923uPwbBZFjjGgGUA6NLw09EwE0CqkOc4q9oUmW1yo/edit?usp=sharing"",""อุตรดิตถ์!J24"")"),0)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IFERROR(__xludf.DUMMYFUNCTION("IMPORTRANGE(""https://docs.google.com/spreadsheets/d/11923uPwbBZFjjGgGUA6NLw09EwE0CqkOc4q9oUmW1yo/edit?usp=sharing"",""อุตรดิตถ์!I25"")"),0)</f>
        <v>0</v>
      </c>
      <c r="J85" s="198">
        <f ca="1">IFERROR(__xludf.DUMMYFUNCTION("IMPORTRANGE(""https://docs.google.com/spreadsheets/d/11923uPwbBZFjjGgGUA6NLw09EwE0CqkOc4q9oUmW1yo/edit?usp=sharing"",""อุตรดิตถ์!J25"")"),0)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IFERROR(__xludf.DUMMYFUNCTION("IMPORTRANGE(""https://docs.google.com/spreadsheets/d/11923uPwbBZFjjGgGUA6NLw09EwE0CqkOc4q9oUmW1yo/edit?usp=sharing"",""อุตรดิตถ์!I26"")"),0)</f>
        <v>0</v>
      </c>
      <c r="J86" s="213">
        <f ca="1">IFERROR(__xludf.DUMMYFUNCTION("IMPORTRANGE(""https://docs.google.com/spreadsheets/d/11923uPwbBZFjjGgGUA6NLw09EwE0CqkOc4q9oUmW1yo/edit?usp=sharing"",""อุตรดิตถ์!J26"")"),0)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IFERROR(__xludf.DUMMYFUNCTION("IMPORTRANGE(""https://docs.google.com/spreadsheets/d/11923uPwbBZFjjGgGUA6NLw09EwE0CqkOc4q9oUmW1yo/edit?usp=sharing"",""อุตรดิตถ์!I27"")"),0)</f>
        <v>0</v>
      </c>
      <c r="J87" s="213">
        <f ca="1">IFERROR(__xludf.DUMMYFUNCTION("IMPORTRANGE(""https://docs.google.com/spreadsheets/d/11923uPwbBZFjjGgGUA6NLw09EwE0CqkOc4q9oUmW1yo/edit?usp=sharing"",""อุตรดิตถ์!J27"")"),0)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IFERROR(__xludf.DUMMYFUNCTION("IMPORTRANGE(""https://docs.google.com/spreadsheets/d/11923uPwbBZFjjGgGUA6NLw09EwE0CqkOc4q9oUmW1yo/edit?usp=sharing"",""อุตรดิตถ์!I28"")"),0)</f>
        <v>0</v>
      </c>
      <c r="J88" s="213">
        <f ca="1">IFERROR(__xludf.DUMMYFUNCTION("IMPORTRANGE(""https://docs.google.com/spreadsheets/d/11923uPwbBZFjjGgGUA6NLw09EwE0CqkOc4q9oUmW1yo/edit?usp=sharing"",""อุตรดิตถ์!J28"")"),0)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IFERROR(__xludf.DUMMYFUNCTION("IMPORTRANGE(""https://docs.google.com/spreadsheets/d/11923uPwbBZFjjGgGUA6NLw09EwE0CqkOc4q9oUmW1yo/edit?usp=sharing"",""อุตรดิตถ์!J29"")"),0)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IFERROR(__xludf.DUMMYFUNCTION("IMPORTRANGE(""https://docs.google.com/spreadsheets/d/11923uPwbBZFjjGgGUA6NLw09EwE0CqkOc4q9oUmW1yo/edit?usp=sharing"",""อุตรดิตถ์!J30"")"),0)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IFERROR(__xludf.DUMMYFUNCTION("IMPORTRANGE(""https://docs.google.com/spreadsheets/d/11923uPwbBZFjjGgGUA6NLw09EwE0CqkOc4q9oUmW1yo/edit?usp=sharing"",""อุตรดิตถ์!I32"")"),4)</f>
        <v>4</v>
      </c>
      <c r="J92" s="148">
        <f ca="1">IFERROR(__xludf.DUMMYFUNCTION("IMPORTRANGE(""https://docs.google.com/spreadsheets/d/11923uPwbBZFjjGgGUA6NLw09EwE0CqkOc4q9oUmW1yo/edit?usp=sharing"",""อุตรดิตถ์!J32"")"),4)</f>
        <v>4</v>
      </c>
      <c r="K92" s="149">
        <f t="shared" ref="K92:K93" ca="1" si="51">IF(I92&gt;0,J92*100/I92,0)</f>
        <v>100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IFERROR(__xludf.DUMMYFUNCTION("IMPORTRANGE(""https://docs.google.com/spreadsheets/d/11923uPwbBZFjjGgGUA6NLw09EwE0CqkOc4q9oUmW1yo/edit?usp=sharing"",""อุตรดิตถ์!I33"")"),1)</f>
        <v>1</v>
      </c>
      <c r="J93" s="148">
        <f ca="1">IFERROR(__xludf.DUMMYFUNCTION("IMPORTRANGE(""https://docs.google.com/spreadsheets/d/11923uPwbBZFjjGgGUA6NLw09EwE0CqkOc4q9oUmW1yo/edit?usp=sharing"",""อุตรดิตถ์!J33"")"),1)</f>
        <v>1</v>
      </c>
      <c r="K93" s="149">
        <f t="shared" ca="1" si="51"/>
        <v>100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115259</v>
      </c>
      <c r="O94" s="157">
        <f t="shared" ref="O94:O96" ca="1" si="53">IF(L94&gt;0,N94*100/L94,0)</f>
        <v>53.733799533799534</v>
      </c>
      <c r="P94" s="157">
        <f t="shared" ref="P94:P96" ca="1" si="54">IF(M94&gt;0,N94*100/M94,0)</f>
        <v>167.698239487851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115259</v>
      </c>
      <c r="O96" s="162">
        <f t="shared" ca="1" si="53"/>
        <v>53.733799533799534</v>
      </c>
      <c r="P96" s="162">
        <f t="shared" ca="1" si="54"/>
        <v>167.698239487851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IFERROR(__xludf.DUMMYFUNCTION("IMPORTRANGE(""https://docs.google.com/spreadsheets/d/1Yj_ptqi66GCucihVvJfMjLAmec39IyEx_6qawtMGysU/edit?usp=sharing"",""สบก!AR35"")"),68730)</f>
        <v>68730</v>
      </c>
      <c r="N98" s="177">
        <f ca="1">IFERROR(__xludf.DUMMYFUNCTION("IMPORTRANGE(""https://docs.google.com/spreadsheets/d/1Yj_ptqi66GCucihVvJfMjLAmec39IyEx_6qawtMGysU/edit?usp=sharing"",""สบก!AS35"")"),22859)</f>
        <v>22859</v>
      </c>
      <c r="O98" s="178">
        <f ca="1">IF(L98&gt;0,N98*100/L98,0)</f>
        <v>18.72153972153972</v>
      </c>
      <c r="P98" s="178">
        <f ca="1">IF(M98&gt;0,N98*100/M98,0)</f>
        <v>33.259129928706535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IFERROR(__xludf.DUMMYFUNCTION("IMPORTRANGE(""https://docs.google.com/spreadsheets/d/1Yj_ptqi66GCucihVvJfMjLAmec39IyEx_6qawtMGysU/edit?usp=sharing"",""สบก!AN35"")"),0)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IFERROR(__xludf.DUMMYFUNCTION("IMPORTRANGE(""https://docs.google.com/spreadsheets/d/1Yj_ptqi66GCucihVvJfMjLAmec39IyEx_6qawtMGysU/edit?usp=sharing"",""สบก!AO35"")"),122100)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IFERROR(__xludf.DUMMYFUNCTION("IMPORTRANGE(""https://docs.google.com/spreadsheets/d/1Yj_ptqi66GCucihVvJfMjLAmec39IyEx_6qawtMGysU/edit?usp=sharing"",""สบก!AP35"")"),92400)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IFERROR(__xludf.DUMMYFUNCTION("IMPORTRANGE(""https://docs.google.com/spreadsheets/d/1Yj_ptqi66GCucihVvJfMjLAmec39IyEx_6qawtMGysU/edit?usp=sharing"",""สบก!AT35"")"),92400)</f>
        <v>92400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IFERROR(__xludf.DUMMYFUNCTION("IMPORTRANGE(""https://docs.google.com/spreadsheets/d/11923uPwbBZFjjGgGUA6NLw09EwE0CqkOc4q9oUmW1yo/edit?usp=sharing"",""อุตรดิตถ์!J39"")"),0)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IFERROR(__xludf.DUMMYFUNCTION("IMPORTRANGE(""https://docs.google.com/spreadsheets/d/11923uPwbBZFjjGgGUA6NLw09EwE0CqkOc4q9oUmW1yo/edit?usp=sharing"",""อุตรดิตถ์!J40"")"),1)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IFERROR(__xludf.DUMMYFUNCTION("IMPORTRANGE(""https://docs.google.com/spreadsheets/d/11923uPwbBZFjjGgGUA6NLw09EwE0CqkOc4q9oUmW1yo/edit?usp=sharing"",""อุตรดิตถ์!J41"")"),1)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IFERROR(__xludf.DUMMYFUNCTION("IMPORTRANGE(""https://docs.google.com/spreadsheets/d/11923uPwbBZFjjGgGUA6NLw09EwE0CqkOc4q9oUmW1yo/edit?usp=sharing"",""อุตรดิตถ์!J42"")"),1)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IFERROR(__xludf.DUMMYFUNCTION("IMPORTRANGE(""https://docs.google.com/spreadsheets/d/11923uPwbBZFjjGgGUA6NLw09EwE0CqkOc4q9oUmW1yo/edit?usp=sharing"",""อุตรดิตถ์!I43"")"),1)</f>
        <v>1</v>
      </c>
      <c r="J108" s="213">
        <f ca="1">IFERROR(__xludf.DUMMYFUNCTION("IMPORTRANGE(""https://docs.google.com/spreadsheets/d/11923uPwbBZFjjGgGUA6NLw09EwE0CqkOc4q9oUmW1yo/edit?usp=sharing"",""อุตรดิตถ์!J43"")"),1)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IFERROR(__xludf.DUMMYFUNCTION("IMPORTRANGE(""https://docs.google.com/spreadsheets/d/11923uPwbBZFjjGgGUA6NLw09EwE0CqkOc4q9oUmW1yo/edit?usp=sharing"",""อุตรดิตถ์!I44"")"),4)</f>
        <v>4</v>
      </c>
      <c r="J109" s="213">
        <f ca="1">IFERROR(__xludf.DUMMYFUNCTION("IMPORTRANGE(""https://docs.google.com/spreadsheets/d/11923uPwbBZFjjGgGUA6NLw09EwE0CqkOc4q9oUmW1yo/edit?usp=sharing"",""อุตรดิตถ์!J44"")"),4)</f>
        <v>4</v>
      </c>
      <c r="K109" s="233">
        <f t="shared" ca="1" si="57"/>
        <v>100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IFERROR(__xludf.DUMMYFUNCTION("IMPORTRANGE(""https://docs.google.com/spreadsheets/d/11923uPwbBZFjjGgGUA6NLw09EwE0CqkOc4q9oUmW1yo/edit?usp=sharing"",""อุตรดิตถ์!I45"")"),4)</f>
        <v>4</v>
      </c>
      <c r="J110" s="213">
        <f ca="1">IFERROR(__xludf.DUMMYFUNCTION("IMPORTRANGE(""https://docs.google.com/spreadsheets/d/11923uPwbBZFjjGgGUA6NLw09EwE0CqkOc4q9oUmW1yo/edit?usp=sharing"",""อุตรดิตถ์!J45"")"),4)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IFERROR(__xludf.DUMMYFUNCTION("IMPORTRANGE(""https://docs.google.com/spreadsheets/d/11923uPwbBZFjjGgGUA6NLw09EwE0CqkOc4q9oUmW1yo/edit?usp=sharing"",""อุตรดิตถ์!I46"")"),4)</f>
        <v>4</v>
      </c>
      <c r="J111" s="213">
        <f ca="1">IFERROR(__xludf.DUMMYFUNCTION("IMPORTRANGE(""https://docs.google.com/spreadsheets/d/11923uPwbBZFjjGgGUA6NLw09EwE0CqkOc4q9oUmW1yo/edit?usp=sharing"",""อุตรดิตถ์!J46"")"),4)</f>
        <v>4</v>
      </c>
      <c r="K111" s="233">
        <f t="shared" ca="1" si="57"/>
        <v>100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IFERROR(__xludf.DUMMYFUNCTION("IMPORTRANGE(""https://docs.google.com/spreadsheets/d/11923uPwbBZFjjGgGUA6NLw09EwE0CqkOc4q9oUmW1yo/edit?usp=sharing"",""อุตรดิตถ์!I47"")"),4)</f>
        <v>4</v>
      </c>
      <c r="J112" s="213">
        <f ca="1">IFERROR(__xludf.DUMMYFUNCTION("IMPORTRANGE(""https://docs.google.com/spreadsheets/d/11923uPwbBZFjjGgGUA6NLw09EwE0CqkOc4q9oUmW1yo/edit?usp=sharing"",""อุตรดิตถ์!J47"")"),0)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IFERROR(__xludf.DUMMYFUNCTION("IMPORTRANGE(""https://docs.google.com/spreadsheets/d/11923uPwbBZFjjGgGUA6NLw09EwE0CqkOc4q9oUmW1yo/edit?usp=sharing"",""อุตรดิตถ์!I48"")"),1)</f>
        <v>1</v>
      </c>
      <c r="J113" s="213">
        <f ca="1">IFERROR(__xludf.DUMMYFUNCTION("IMPORTRANGE(""https://docs.google.com/spreadsheets/d/11923uPwbBZFjjGgGUA6NLw09EwE0CqkOc4q9oUmW1yo/edit?usp=sharing"",""อุตรดิตถ์!J48"")"),1)</f>
        <v>1</v>
      </c>
      <c r="K113" s="233">
        <f t="shared" ca="1" si="57"/>
        <v>100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IFERROR(__xludf.DUMMYFUNCTION("IMPORTRANGE(""https://docs.google.com/spreadsheets/d/11923uPwbBZFjjGgGUA6NLw09EwE0CqkOc4q9oUmW1yo/edit?usp=sharing"",""อุตรดิตถ์!J49"")"),0)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IFERROR(__xludf.DUMMYFUNCTION("IMPORTRANGE(""https://docs.google.com/spreadsheets/d/11923uPwbBZFjjGgGUA6NLw09EwE0CqkOc4q9oUmW1yo/edit?usp=sharing"",""อุตรดิตถ์!J50"")"),0)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IFERROR(__xludf.DUMMYFUNCTION("IMPORTRANGE(""https://docs.google.com/spreadsheets/d/11923uPwbBZFjjGgGUA6NLw09EwE0CqkOc4q9oUmW1yo/edit?usp=sharing"",""อุตรดิตถ์!I52"")"),20)</f>
        <v>20</v>
      </c>
      <c r="J117" s="148">
        <f ca="1">IFERROR(__xludf.DUMMYFUNCTION("IMPORTRANGE(""https://docs.google.com/spreadsheets/d/11923uPwbBZFjjGgGUA6NLw09EwE0CqkOc4q9oUmW1yo/edit?usp=sharing"",""อุตรดิตถ์!J52"")"),20)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49879</v>
      </c>
      <c r="O118" s="157">
        <f t="shared" ref="O118:O120" ca="1" si="59">IF(L118&gt;0,N118*100/L118,0)</f>
        <v>60.503396409509946</v>
      </c>
      <c r="P118" s="157">
        <f t="shared" ref="P118:P120" ca="1" si="60">IF(M118&gt;0,N118*100/M118,0)</f>
        <v>75.073750752558695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49879</v>
      </c>
      <c r="O120" s="162">
        <f t="shared" ca="1" si="59"/>
        <v>60.503396409509946</v>
      </c>
      <c r="P120" s="162">
        <f t="shared" ca="1" si="60"/>
        <v>75.073750752558695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IFERROR(__xludf.DUMMYFUNCTION("IMPORTRANGE(""https://docs.google.com/spreadsheets/d/1Yj_ptqi66GCucihVvJfMjLAmec39IyEx_6qawtMGysU/edit?usp=sharing"",""สบก!BA35"")"),66440)</f>
        <v>66440</v>
      </c>
      <c r="N122" s="177">
        <f ca="1">IFERROR(__xludf.DUMMYFUNCTION("IMPORTRANGE(""https://docs.google.com/spreadsheets/d/1Yj_ptqi66GCucihVvJfMjLAmec39IyEx_6qawtMGysU/edit?usp=sharing"",""สบก!BB35"")"),49879)</f>
        <v>49879</v>
      </c>
      <c r="O122" s="178">
        <f ca="1">IF(L122&gt;0,N122*100/L122,0)</f>
        <v>60.503396409509946</v>
      </c>
      <c r="P122" s="178">
        <f ca="1">IF(M122&gt;0,N122*100/M122,0)</f>
        <v>75.073750752558695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IFERROR(__xludf.DUMMYFUNCTION("IMPORTRANGE(""https://docs.google.com/spreadsheets/d/1Yj_ptqi66GCucihVvJfMjLAmec39IyEx_6qawtMGysU/edit?usp=sharing"",""สบก!AW35"")"),0)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IFERROR(__xludf.DUMMYFUNCTION("IMPORTRANGE(""https://docs.google.com/spreadsheets/d/1Yj_ptqi66GCucihVvJfMjLAmec39IyEx_6qawtMGysU/edit?usp=sharing"",""สบก!AX35"")"),82440)</f>
        <v>82440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IFERROR(__xludf.DUMMYFUNCTION("IMPORTRANGE(""https://docs.google.com/spreadsheets/d/1Yj_ptqi66GCucihVvJfMjLAmec39IyEx_6qawtMGysU/edit?usp=sharing"",""สบก!AY35"")"),0)</f>
        <v>0</v>
      </c>
      <c r="M126" s="103"/>
      <c r="N126" s="93">
        <f ca="1">IFERROR(__xludf.DUMMYFUNCTION("IMPORTRANGE(""https://docs.google.com/spreadsheets/d/1Yj_ptqi66GCucihVvJfMjLAmec39IyEx_6qawtMGysU/edit?usp=sharing"",""สบก!BC35"")"),0)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269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IFERROR(__xludf.DUMMYFUNCTION("IMPORTRANGE(""https://docs.google.com/spreadsheets/d/11923uPwbBZFjjGgGUA6NLw09EwE0CqkOc4q9oUmW1yo/edit?usp=sharing"",""อุตรดิตถ์!J58"")"),0)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IFERROR(__xludf.DUMMYFUNCTION("IMPORTRANGE(""https://docs.google.com/spreadsheets/d/11923uPwbBZFjjGgGUA6NLw09EwE0CqkOc4q9oUmW1yo/edit?usp=sharing"",""อุตรดิตถ์!J59"")"),1)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IFERROR(__xludf.DUMMYFUNCTION("IMPORTRANGE(""https://docs.google.com/spreadsheets/d/11923uPwbBZFjjGgGUA6NLw09EwE0CqkOc4q9oUmW1yo/edit?usp=sharing"",""อุตรดิตถ์!J60"")"),1)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IFERROR(__xludf.DUMMYFUNCTION("IMPORTRANGE(""https://docs.google.com/spreadsheets/d/11923uPwbBZFjjGgGUA6NLw09EwE0CqkOc4q9oUmW1yo/edit?usp=sharing"",""อุตรดิตถ์!J61"")"),1)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IFERROR(__xludf.DUMMYFUNCTION("IMPORTRANGE(""https://docs.google.com/spreadsheets/d/11923uPwbBZFjjGgGUA6NLw09EwE0CqkOc4q9oUmW1yo/edit?usp=sharing"",""อุตรดิตถ์!I62"")"),20)</f>
        <v>20</v>
      </c>
      <c r="J132" s="213">
        <f ca="1">IFERROR(__xludf.DUMMYFUNCTION("IMPORTRANGE(""https://docs.google.com/spreadsheets/d/11923uPwbBZFjjGgGUA6NLw09EwE0CqkOc4q9oUmW1yo/edit?usp=sharing"",""อุตรดิตถ์!J62"")"),20)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IFERROR(__xludf.DUMMYFUNCTION("IMPORTRANGE(""https://docs.google.com/spreadsheets/d/11923uPwbBZFjjGgGUA6NLw09EwE0CqkOc4q9oUmW1yo/edit?usp=sharing"",""อุตรดิตถ์!I63"")"),20)</f>
        <v>20</v>
      </c>
      <c r="J133" s="213">
        <f ca="1">IFERROR(__xludf.DUMMYFUNCTION("IMPORTRANGE(""https://docs.google.com/spreadsheets/d/11923uPwbBZFjjGgGUA6NLw09EwE0CqkOc4q9oUmW1yo/edit?usp=sharing"",""อุตรดิตถ์!J63"")"),20)</f>
        <v>20</v>
      </c>
      <c r="K133" s="233">
        <f t="shared" ca="1" si="63"/>
        <v>100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IFERROR(__xludf.DUMMYFUNCTION("IMPORTRANGE(""https://docs.google.com/spreadsheets/d/11923uPwbBZFjjGgGUA6NLw09EwE0CqkOc4q9oUmW1yo/edit?usp=sharing"",""อุตรดิตถ์!J64"")"),0)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IFERROR(__xludf.DUMMYFUNCTION("IMPORTRANGE(""https://docs.google.com/spreadsheets/d/11923uPwbBZFjjGgGUA6NLw09EwE0CqkOc4q9oUmW1yo/edit?usp=sharing"",""อุตรดิตถ์!J65"")"),0)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IFERROR(__xludf.DUMMYFUNCTION("IMPORTRANGE(""https://docs.google.com/spreadsheets/d/11923uPwbBZFjjGgGUA6NLw09EwE0CqkOc4q9oUmW1yo/edit?usp=sharing"",""อุตรดิตถ์!I68"")"),0)</f>
        <v>0</v>
      </c>
      <c r="J138" s="276">
        <f ca="1">IFERROR(__xludf.DUMMYFUNCTION("IMPORTRANGE(""https://docs.google.com/spreadsheets/d/11923uPwbBZFjjGgGUA6NLw09EwE0CqkOc4q9oUmW1yo/edit?usp=sharing"",""อุตรดิตถ์!J68"")"),0)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79000</v>
      </c>
      <c r="M140" s="158">
        <f t="shared" ca="1" si="64"/>
        <v>55750</v>
      </c>
      <c r="N140" s="158">
        <f t="shared" ca="1" si="64"/>
        <v>47996</v>
      </c>
      <c r="O140" s="157">
        <f t="shared" ref="O140:O142" ca="1" si="65">IF(L140&gt;0,N140*100/L140,0)</f>
        <v>60.754430379746836</v>
      </c>
      <c r="P140" s="157">
        <f t="shared" ref="P140:P142" ca="1" si="66">IF(M140&gt;0,N140*100/M140,0)</f>
        <v>86.091479820627796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79000</v>
      </c>
      <c r="M142" s="163">
        <f t="shared" ca="1" si="68"/>
        <v>55750</v>
      </c>
      <c r="N142" s="163">
        <f t="shared" ca="1" si="68"/>
        <v>47996</v>
      </c>
      <c r="O142" s="162">
        <f t="shared" ca="1" si="65"/>
        <v>60.754430379746836</v>
      </c>
      <c r="P142" s="162">
        <f t="shared" ca="1" si="66"/>
        <v>86.091479820627796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79000</v>
      </c>
      <c r="M144" s="176">
        <f ca="1">IFERROR(__xludf.DUMMYFUNCTION("IMPORTRANGE(""https://docs.google.com/spreadsheets/d/1Yj_ptqi66GCucihVvJfMjLAmec39IyEx_6qawtMGysU/edit?usp=sharing"",""สบก!BJ35"")"),55750)</f>
        <v>55750</v>
      </c>
      <c r="N144" s="177">
        <f ca="1">IFERROR(__xludf.DUMMYFUNCTION("IMPORTRANGE(""https://docs.google.com/spreadsheets/d/1Yj_ptqi66GCucihVvJfMjLAmec39IyEx_6qawtMGysU/edit?usp=sharing"",""สบก!BK35"")"),47996)</f>
        <v>47996</v>
      </c>
      <c r="O144" s="178">
        <f ca="1">IF(L144&gt;0,N144*100/L144,0)</f>
        <v>60.754430379746836</v>
      </c>
      <c r="P144" s="178">
        <f ca="1">IF(M144&gt;0,N144*100/M144,0)</f>
        <v>86.091479820627796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IFERROR(__xludf.DUMMYFUNCTION("IMPORTRANGE(""https://docs.google.com/spreadsheets/d/1Yj_ptqi66GCucihVvJfMjLAmec39IyEx_6qawtMGysU/edit?usp=sharing"",""สบก!BF35"")"),0)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IFERROR(__xludf.DUMMYFUNCTION("IMPORTRANGE(""https://docs.google.com/spreadsheets/d/1Yj_ptqi66GCucihVvJfMjLAmec39IyEx_6qawtMGysU/edit?usp=sharing"",""สบก!BG35"")"),79000)</f>
        <v>79000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IFERROR(__xludf.DUMMYFUNCTION("IMPORTRANGE(""https://docs.google.com/spreadsheets/d/1Yj_ptqi66GCucihVvJfMjLAmec39IyEx_6qawtMGysU/edit?usp=sharing"",""สบก!BH35"")"),0)</f>
        <v>0</v>
      </c>
      <c r="M148" s="103"/>
      <c r="N148" s="93">
        <f ca="1">IFERROR(__xludf.DUMMYFUNCTION("IMPORTRANGE(""https://docs.google.com/spreadsheets/d/1Yj_ptqi66GCucihVvJfMjLAmec39IyEx_6qawtMGysU/edit?usp=sharing"",""สบก!BL35"")"),0)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IFERROR(__xludf.DUMMYFUNCTION("IMPORTRANGE(""https://docs.google.com/spreadsheets/d/11923uPwbBZFjjGgGUA6NLw09EwE0CqkOc4q9oUmW1yo/edit?usp=sharing"",""อุตรดิตถ์!I74"")"),4)</f>
        <v>4</v>
      </c>
      <c r="J149" s="284">
        <f ca="1">IFERROR(__xludf.DUMMYFUNCTION("IMPORTRANGE(""https://docs.google.com/spreadsheets/d/11923uPwbBZFjjGgGUA6NLw09EwE0CqkOc4q9oUmW1yo/edit?usp=sharing"",""อุตรดิตถ์!J74"")"),1)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IFERROR(__xludf.DUMMYFUNCTION("IMPORTRANGE(""https://docs.google.com/spreadsheets/d/11923uPwbBZFjjGgGUA6NLw09EwE0CqkOc4q9oUmW1yo/edit?usp=sharing"",""อุตรดิตถ์!J79"")"),0)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IFERROR(__xludf.DUMMYFUNCTION("IMPORTRANGE(""https://docs.google.com/spreadsheets/d/11923uPwbBZFjjGgGUA6NLw09EwE0CqkOc4q9oUmW1yo/edit?usp=sharing"",""อุตรดิตถ์!J80"")"),0)</f>
        <v>0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IFERROR(__xludf.DUMMYFUNCTION("IMPORTRANGE(""https://docs.google.com/spreadsheets/d/11923uPwbBZFjjGgGUA6NLw09EwE0CqkOc4q9oUmW1yo/edit?usp=sharing"",""อุตรดิตถ์!J81"")"),1)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IFERROR(__xludf.DUMMYFUNCTION("IMPORTRANGE(""https://docs.google.com/spreadsheets/d/11923uPwbBZFjjGgGUA6NLw09EwE0CqkOc4q9oUmW1yo/edit?usp=sharing"",""อุตรดิตถ์!J82"")"),1)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IFERROR(__xludf.DUMMYFUNCTION("IMPORTRANGE(""https://docs.google.com/spreadsheets/d/11923uPwbBZFjjGgGUA6NLw09EwE0CqkOc4q9oUmW1yo/edit?usp=sharing"",""อุตรดิตถ์!I83"")"),4)</f>
        <v>4</v>
      </c>
      <c r="J158" s="198">
        <f ca="1">IFERROR(__xludf.DUMMYFUNCTION("IMPORTRANGE(""https://docs.google.com/spreadsheets/d/11923uPwbBZFjjGgGUA6NLw09EwE0CqkOc4q9oUmW1yo/edit?usp=sharing"",""อุตรดิตถ์!J83"")"),1)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IFERROR(__xludf.DUMMYFUNCTION("IMPORTRANGE(""https://docs.google.com/spreadsheets/d/11923uPwbBZFjjGgGUA6NLw09EwE0CqkOc4q9oUmW1yo/edit?usp=sharing"",""อุตรดิตถ์!J84"")"),68)</f>
        <v>68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IFERROR(__xludf.DUMMYFUNCTION("IMPORTRANGE(""https://docs.google.com/spreadsheets/d/11923uPwbBZFjjGgGUA6NLw09EwE0CqkOc4q9oUmW1yo/edit?usp=sharing"",""อุตรดิตถ์!J85"")"),68)</f>
        <v>68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IFERROR(__xludf.DUMMYFUNCTION("IMPORTRANGE(""https://docs.google.com/spreadsheets/d/11923uPwbBZFjjGgGUA6NLw09EwE0CqkOc4q9oUmW1yo/edit?usp=sharing"",""อุตรดิตถ์!J86"")"),0)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IFERROR(__xludf.DUMMYFUNCTION("IMPORTRANGE(""https://docs.google.com/spreadsheets/d/11923uPwbBZFjjGgGUA6NLw09EwE0CqkOc4q9oUmW1yo/edit?usp=sharing"",""อุตรดิตถ์!J87"")"),0)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IFERROR(__xludf.DUMMYFUNCTION("IMPORTRANGE(""https://docs.google.com/spreadsheets/d/11923uPwbBZFjjGgGUA6NLw09EwE0CqkOc4q9oUmW1yo/edit?usp=sharing"",""อุตรดิตถ์!J88"")"),0)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IFERROR(__xludf.DUMMYFUNCTION("IMPORTRANGE(""https://docs.google.com/spreadsheets/d/11923uPwbBZFjjGgGUA6NLw09EwE0CqkOc4q9oUmW1yo/edit?usp=sharing"",""อุตรดิตถ์!I89"")"),3)</f>
        <v>3</v>
      </c>
      <c r="J164" s="292">
        <f ca="1">IFERROR(__xludf.DUMMYFUNCTION("IMPORTRANGE(""https://docs.google.com/spreadsheets/d/11923uPwbBZFjjGgGUA6NLw09EwE0CqkOc4q9oUmW1yo/edit?usp=sharing"",""อุตรดิตถ์!J89"")"),0)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IFERROR(__xludf.DUMMYFUNCTION("IMPORTRANGE(""https://docs.google.com/spreadsheets/d/11923uPwbBZFjjGgGUA6NLw09EwE0CqkOc4q9oUmW1yo/edit?usp=sharing"",""อุตรดิตถ์!J94"")"),0)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IFERROR(__xludf.DUMMYFUNCTION("IMPORTRANGE(""https://docs.google.com/spreadsheets/d/11923uPwbBZFjjGgGUA6NLw09EwE0CqkOc4q9oUmW1yo/edit?usp=sharing"",""อุตรดิตถ์!J95"")"),1)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IFERROR(__xludf.DUMMYFUNCTION("IMPORTRANGE(""https://docs.google.com/spreadsheets/d/11923uPwbBZFjjGgGUA6NLw09EwE0CqkOc4q9oUmW1yo/edit?usp=sharing"",""อุตรดิตถ์!J96"")"),1)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IFERROR(__xludf.DUMMYFUNCTION("IMPORTRANGE(""https://docs.google.com/spreadsheets/d/11923uPwbBZFjjGgGUA6NLw09EwE0CqkOc4q9oUmW1yo/edit?usp=sharing"",""อุตรดิตถ์!J97"")"),1)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IFERROR(__xludf.DUMMYFUNCTION("IMPORTRANGE(""https://docs.google.com/spreadsheets/d/11923uPwbBZFjjGgGUA6NLw09EwE0CqkOc4q9oUmW1yo/edit?usp=sharing"",""อุตรดิตถ์!I98"")"),3)</f>
        <v>3</v>
      </c>
      <c r="J173" s="198">
        <f ca="1">IFERROR(__xludf.DUMMYFUNCTION("IMPORTRANGE(""https://docs.google.com/spreadsheets/d/11923uPwbBZFjjGgGUA6NLw09EwE0CqkOc4q9oUmW1yo/edit?usp=sharing"",""อุตรดิตถ์!J98"")"),0)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IFERROR(__xludf.DUMMYFUNCTION("IMPORTRANGE(""https://docs.google.com/spreadsheets/d/11923uPwbBZFjjGgGUA6NLw09EwE0CqkOc4q9oUmW1yo/edit?usp=sharing"",""อุตรดิตถ์!J99"")"),0)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IFERROR(__xludf.DUMMYFUNCTION("IMPORTRANGE(""https://docs.google.com/spreadsheets/d/11923uPwbBZFjjGgGUA6NLw09EwE0CqkOc4q9oUmW1yo/edit?usp=sharing"",""อุตรดิตถ์!J100"")"),0)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IFERROR(__xludf.DUMMYFUNCTION("IMPORTRANGE(""https://docs.google.com/spreadsheets/d/11923uPwbBZFjjGgGUA6NLw09EwE0CqkOc4q9oUmW1yo/edit?usp=sharing"",""อุตรดิตถ์!I101"")"),1)</f>
        <v>1</v>
      </c>
      <c r="J176" s="292">
        <f ca="1">IFERROR(__xludf.DUMMYFUNCTION("IMPORTRANGE(""https://docs.google.com/spreadsheets/d/11923uPwbBZFjjGgGUA6NLw09EwE0CqkOc4q9oUmW1yo/edit?usp=sharing"",""อุตรดิตถ์!J101"")"),1)</f>
        <v>1</v>
      </c>
      <c r="K176" s="293">
        <f ca="1">IF(I176&gt;0,J176*100/I176,0)</f>
        <v>100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IFERROR(__xludf.DUMMYFUNCTION("IMPORTRANGE(""https://docs.google.com/spreadsheets/d/11923uPwbBZFjjGgGUA6NLw09EwE0CqkOc4q9oUmW1yo/edit?usp=sharing"",""อุตรดิตถ์!J106"")"),0)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IFERROR(__xludf.DUMMYFUNCTION("IMPORTRANGE(""https://docs.google.com/spreadsheets/d/11923uPwbBZFjjGgGUA6NLw09EwE0CqkOc4q9oUmW1yo/edit?usp=sharing"",""อุตรดิตถ์!J107"")"),1)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IFERROR(__xludf.DUMMYFUNCTION("IMPORTRANGE(""https://docs.google.com/spreadsheets/d/11923uPwbBZFjjGgGUA6NLw09EwE0CqkOc4q9oUmW1yo/edit?usp=sharing"",""อุตรดิตถ์!J108"")"),1)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IFERROR(__xludf.DUMMYFUNCTION("IMPORTRANGE(""https://docs.google.com/spreadsheets/d/11923uPwbBZFjjGgGUA6NLw09EwE0CqkOc4q9oUmW1yo/edit?usp=sharing"",""อุตรดิตถ์!J109"")"),1)</f>
        <v>1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IFERROR(__xludf.DUMMYFUNCTION("IMPORTRANGE(""https://docs.google.com/spreadsheets/d/11923uPwbBZFjjGgGUA6NLw09EwE0CqkOc4q9oUmW1yo/edit?usp=sharing"",""อุตรดิตถ์!I110"")"),1)</f>
        <v>1</v>
      </c>
      <c r="J185" s="213">
        <f ca="1">IFERROR(__xludf.DUMMYFUNCTION("IMPORTRANGE(""https://docs.google.com/spreadsheets/d/11923uPwbBZFjjGgGUA6NLw09EwE0CqkOc4q9oUmW1yo/edit?usp=sharing"",""อุตรดิตถ์!J110"")"),1)</f>
        <v>1</v>
      </c>
      <c r="K185" s="233">
        <f t="shared" ref="K185:K186" ca="1" si="69">IF(I185&gt;0,J185*100/I185,0)</f>
        <v>100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IFERROR(__xludf.DUMMYFUNCTION("IMPORTRANGE(""https://docs.google.com/spreadsheets/d/11923uPwbBZFjjGgGUA6NLw09EwE0CqkOc4q9oUmW1yo/edit?usp=sharing"",""อุตรดิตถ์!I111"")"),1)</f>
        <v>1</v>
      </c>
      <c r="J186" s="213">
        <f ca="1">IFERROR(__xludf.DUMMYFUNCTION("IMPORTRANGE(""https://docs.google.com/spreadsheets/d/11923uPwbBZFjjGgGUA6NLw09EwE0CqkOc4q9oUmW1yo/edit?usp=sharing"",""อุตรดิตถ์!J111"")"),1)</f>
        <v>1</v>
      </c>
      <c r="K186" s="233">
        <f t="shared" ca="1" si="69"/>
        <v>100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IFERROR(__xludf.DUMMYFUNCTION("IMPORTRANGE(""https://docs.google.com/spreadsheets/d/11923uPwbBZFjjGgGUA6NLw09EwE0CqkOc4q9oUmW1yo/edit?usp=sharing"",""อุตรดิตถ์!J112"")"),0)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IFERROR(__xludf.DUMMYFUNCTION("IMPORTRANGE(""https://docs.google.com/spreadsheets/d/11923uPwbBZFjjGgGUA6NLw09EwE0CqkOc4q9oUmW1yo/edit?usp=sharing"",""อุตรดิตถ์!J113"")"),0)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IFERROR(__xludf.DUMMYFUNCTION("IMPORTRANGE(""https://docs.google.com/spreadsheets/d/11923uPwbBZFjjGgGUA6NLw09EwE0CqkOc4q9oUmW1yo/edit?usp=sharing"",""อุตรดิตถ์!I114"")"),30000)</f>
        <v>30000</v>
      </c>
      <c r="J189" s="292">
        <f ca="1">IFERROR(__xludf.DUMMYFUNCTION("IMPORTRANGE(""https://docs.google.com/spreadsheets/d/11923uPwbBZFjjGgGUA6NLw09EwE0CqkOc4q9oUmW1yo/edit?usp=sharing"",""อุตรดิตถ์!J114"")"),0)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IFERROR(__xludf.DUMMYFUNCTION("IMPORTRANGE(""https://docs.google.com/spreadsheets/d/11923uPwbBZFjjGgGUA6NLw09EwE0CqkOc4q9oUmW1yo/edit?usp=sharing"",""อุตรดิตถ์!J119"")"),0)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IFERROR(__xludf.DUMMYFUNCTION("IMPORTRANGE(""https://docs.google.com/spreadsheets/d/11923uPwbBZFjjGgGUA6NLw09EwE0CqkOc4q9oUmW1yo/edit?usp=sharing"",""อุตรดิตถ์!J120"")"),1)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IFERROR(__xludf.DUMMYFUNCTION("IMPORTRANGE(""https://docs.google.com/spreadsheets/d/11923uPwbBZFjjGgGUA6NLw09EwE0CqkOc4q9oUmW1yo/edit?usp=sharing"",""อุตรดิตถ์!J121"")"),1)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IFERROR(__xludf.DUMMYFUNCTION("IMPORTRANGE(""https://docs.google.com/spreadsheets/d/11923uPwbBZFjjGgGUA6NLw09EwE0CqkOc4q9oUmW1yo/edit?usp=sharing"",""อุตรดิตถ์!J122"")"),1)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IFERROR(__xludf.DUMMYFUNCTION("IMPORTRANGE(""https://docs.google.com/spreadsheets/d/11923uPwbBZFjjGgGUA6NLw09EwE0CqkOc4q9oUmW1yo/edit?usp=sharing"",""อุตรดิตถ์!I124"")"),30000)</f>
        <v>30000</v>
      </c>
      <c r="J199" s="198">
        <f ca="1">IFERROR(__xludf.DUMMYFUNCTION("IMPORTRANGE(""https://docs.google.com/spreadsheets/d/11923uPwbBZFjjGgGUA6NLw09EwE0CqkOc4q9oUmW1yo/edit?usp=sharing"",""อุตรดิตถ์!J124"")"),0)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IFERROR(__xludf.DUMMYFUNCTION("IMPORTRANGE(""https://docs.google.com/spreadsheets/d/11923uPwbBZFjjGgGUA6NLw09EwE0CqkOc4q9oUmW1yo/edit?usp=sharing"",""อุตรดิตถ์!I125"")"),30000)</f>
        <v>30000</v>
      </c>
      <c r="J200" s="198">
        <f ca="1">IFERROR(__xludf.DUMMYFUNCTION("IMPORTRANGE(""https://docs.google.com/spreadsheets/d/11923uPwbBZFjjGgGUA6NLw09EwE0CqkOc4q9oUmW1yo/edit?usp=sharing"",""อุตรดิตถ์!J125"")"),0)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IFERROR(__xludf.DUMMYFUNCTION("IMPORTRANGE(""https://docs.google.com/spreadsheets/d/11923uPwbBZFjjGgGUA6NLw09EwE0CqkOc4q9oUmW1yo/edit?usp=sharing"",""อุตรดิตถ์!I126"")"),0)</f>
        <v>0</v>
      </c>
      <c r="J201" s="198">
        <f ca="1">IFERROR(__xludf.DUMMYFUNCTION("IMPORTRANGE(""https://docs.google.com/spreadsheets/d/11923uPwbBZFjjGgGUA6NLw09EwE0CqkOc4q9oUmW1yo/edit?usp=sharing"",""อุตรดิตถ์!J126"")"),0)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IFERROR(__xludf.DUMMYFUNCTION("IMPORTRANGE(""https://docs.google.com/spreadsheets/d/11923uPwbBZFjjGgGUA6NLw09EwE0CqkOc4q9oUmW1yo/edit?usp=sharing"",""อุตรดิตถ์!J127"")"),0)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IFERROR(__xludf.DUMMYFUNCTION("IMPORTRANGE(""https://docs.google.com/spreadsheets/d/11923uPwbBZFjjGgGUA6NLw09EwE0CqkOc4q9oUmW1yo/edit?usp=sharing"",""อุตรดิตถ์!J128"")"),0)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IFERROR(__xludf.DUMMYFUNCTION("IMPORTRANGE(""https://docs.google.com/spreadsheets/d/11923uPwbBZFjjGgGUA6NLw09EwE0CqkOc4q9oUmW1yo/edit?usp=sharing"",""อุตรดิตถ์!I129"")"),0)</f>
        <v>0</v>
      </c>
      <c r="J204" s="292">
        <f ca="1">IFERROR(__xludf.DUMMYFUNCTION("IMPORTRANGE(""https://docs.google.com/spreadsheets/d/11923uPwbBZFjjGgGUA6NLw09EwE0CqkOc4q9oUmW1yo/edit?usp=sharing"",""อุตรดิตถ์!J129"")"),0)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IFERROR(__xludf.DUMMYFUNCTION("IMPORTRANGE(""https://docs.google.com/spreadsheets/d/11923uPwbBZFjjGgGUA6NLw09EwE0CqkOc4q9oUmW1yo/edit?usp=sharing"",""อุตรดิตถ์!J134"")"),0)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IFERROR(__xludf.DUMMYFUNCTION("IMPORTRANGE(""https://docs.google.com/spreadsheets/d/11923uPwbBZFjjGgGUA6NLw09EwE0CqkOc4q9oUmW1yo/edit?usp=sharing"",""อุตรดิตถ์!J135"")"),0)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IFERROR(__xludf.DUMMYFUNCTION("IMPORTRANGE(""https://docs.google.com/spreadsheets/d/11923uPwbBZFjjGgGUA6NLw09EwE0CqkOc4q9oUmW1yo/edit?usp=sharing"",""อุตรดิตถ์!J136"")"),0)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IFERROR(__xludf.DUMMYFUNCTION("IMPORTRANGE(""https://docs.google.com/spreadsheets/d/11923uPwbBZFjjGgGUA6NLw09EwE0CqkOc4q9oUmW1yo/edit?usp=sharing"",""อุตรดิตถ์!J137"")"),0)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IFERROR(__xludf.DUMMYFUNCTION("IMPORTRANGE(""https://docs.google.com/spreadsheets/d/11923uPwbBZFjjGgGUA6NLw09EwE0CqkOc4q9oUmW1yo/edit?usp=sharing"",""อุตรดิตถ์!I138"")"),0)</f>
        <v>0</v>
      </c>
      <c r="J213" s="213">
        <f ca="1">IFERROR(__xludf.DUMMYFUNCTION("IMPORTRANGE(""https://docs.google.com/spreadsheets/d/11923uPwbBZFjjGgGUA6NLw09EwE0CqkOc4q9oUmW1yo/edit?usp=sharing"",""อุตรดิตถ์!J138"")"),0)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IFERROR(__xludf.DUMMYFUNCTION("IMPORTRANGE(""https://docs.google.com/spreadsheets/d/11923uPwbBZFjjGgGUA6NLw09EwE0CqkOc4q9oUmW1yo/edit?usp=sharing"",""อุตรดิตถ์!I140"")"),0)</f>
        <v>0</v>
      </c>
      <c r="J215" s="213">
        <f ca="1">IFERROR(__xludf.DUMMYFUNCTION("IMPORTRANGE(""https://docs.google.com/spreadsheets/d/11923uPwbBZFjjGgGUA6NLw09EwE0CqkOc4q9oUmW1yo/edit?usp=sharing"",""อุตรดิตถ์!J140"")"),0)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IFERROR(__xludf.DUMMYFUNCTION("IMPORTRANGE(""https://docs.google.com/spreadsheets/d/11923uPwbBZFjjGgGUA6NLw09EwE0CqkOc4q9oUmW1yo/edit?usp=sharing"",""อุตรดิตถ์!I141"")"),0)</f>
        <v>0</v>
      </c>
      <c r="J216" s="213">
        <f ca="1">IFERROR(__xludf.DUMMYFUNCTION("IMPORTRANGE(""https://docs.google.com/spreadsheets/d/11923uPwbBZFjjGgGUA6NLw09EwE0CqkOc4q9oUmW1yo/edit?usp=sharing"",""อุตรดิตถ์!J141"")"),0)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IFERROR(__xludf.DUMMYFUNCTION("IMPORTRANGE(""https://docs.google.com/spreadsheets/d/11923uPwbBZFjjGgGUA6NLw09EwE0CqkOc4q9oUmW1yo/edit?usp=sharing"",""อุตรดิตถ์!J142"")"),0)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IFERROR(__xludf.DUMMYFUNCTION("IMPORTRANGE(""https://docs.google.com/spreadsheets/d/11923uPwbBZFjjGgGUA6NLw09EwE0CqkOc4q9oUmW1yo/edit?usp=sharing"",""อุตรดิตถ์!J143"")"),0)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IFERROR(__xludf.DUMMYFUNCTION("IMPORTRANGE(""https://docs.google.com/spreadsheets/d/11923uPwbBZFjjGgGUA6NLw09EwE0CqkOc4q9oUmW1yo/edit?usp=sharing"",""อุตรดิตถ์!I144"")"),15)</f>
        <v>15</v>
      </c>
      <c r="J219" s="276">
        <f ca="1">IFERROR(__xludf.DUMMYFUNCTION("IMPORTRANGE(""https://docs.google.com/spreadsheets/d/11923uPwbBZFjjGgGUA6NLw09EwE0CqkOc4q9oUmW1yo/edit?usp=sharing"",""อุตรดิตถ์!J144"")"),15)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IFERROR(__xludf.DUMMYFUNCTION("IMPORTRANGE(""https://docs.google.com/spreadsheets/d/1Yj_ptqi66GCucihVvJfMjLAmec39IyEx_6qawtMGysU/edit?usp=sharing"",""สบก!BS35"")"),21125)</f>
        <v>21125</v>
      </c>
      <c r="N224" s="177">
        <f ca="1">IFERROR(__xludf.DUMMYFUNCTION("IMPORTRANGE(""https://docs.google.com/spreadsheets/d/1Yj_ptqi66GCucihVvJfMjLAmec39IyEx_6qawtMGysU/edit?usp=sharing"",""สบก!BT35"")"),21125)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IFERROR(__xludf.DUMMYFUNCTION("IMPORTRANGE(""https://docs.google.com/spreadsheets/d/1Yj_ptqi66GCucihVvJfMjLAmec39IyEx_6qawtMGysU/edit?usp=sharing"",""สบก!BO35"")"),0)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IFERROR(__xludf.DUMMYFUNCTION("IMPORTRANGE(""https://docs.google.com/spreadsheets/d/1Yj_ptqi66GCucihVvJfMjLAmec39IyEx_6qawtMGysU/edit?usp=sharing"",""สบก!BP35"")"),21125)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IFERROR(__xludf.DUMMYFUNCTION("IMPORTRANGE(""https://docs.google.com/spreadsheets/d/1Yj_ptqi66GCucihVvJfMjLAmec39IyEx_6qawtMGysU/edit?usp=sharing"",""สบก!BQ35"")"),0)</f>
        <v>0</v>
      </c>
      <c r="M228" s="103"/>
      <c r="N228" s="93">
        <f ca="1">IFERROR(__xludf.DUMMYFUNCTION("IMPORTRANGE(""https://docs.google.com/spreadsheets/d/1Yj_ptqi66GCucihVvJfMjLAmec39IyEx_6qawtMGysU/edit?usp=sharing"",""สบก!BU35"")"),0)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IFERROR(__xludf.DUMMYFUNCTION("IMPORTRANGE(""https://docs.google.com/spreadsheets/d/11923uPwbBZFjjGgGUA6NLw09EwE0CqkOc4q9oUmW1yo/edit?usp=sharing"",""อุตรดิตถ์!I149"")"),15)</f>
        <v>15</v>
      </c>
      <c r="J229" s="276">
        <f ca="1">IFERROR(__xludf.DUMMYFUNCTION("IMPORTRANGE(""https://docs.google.com/spreadsheets/d/11923uPwbBZFjjGgGUA6NLw09EwE0CqkOc4q9oUmW1yo/edit?usp=sharing"",""อุตรดิตถ์!J149"")"),15)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IFERROR(__xludf.DUMMYFUNCTION("IMPORTRANGE(""https://docs.google.com/spreadsheets/d/11923uPwbBZFjjGgGUA6NLw09EwE0CqkOc4q9oUmW1yo/edit?usp=sharing"",""อุตรดิตถ์!J151"")"),0)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IFERROR(__xludf.DUMMYFUNCTION("IMPORTRANGE(""https://docs.google.com/spreadsheets/d/11923uPwbBZFjjGgGUA6NLw09EwE0CqkOc4q9oUmW1yo/edit?usp=sharing"",""อุตรดิตถ์!J152"")"),1)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IFERROR(__xludf.DUMMYFUNCTION("IMPORTRANGE(""https://docs.google.com/spreadsheets/d/11923uPwbBZFjjGgGUA6NLw09EwE0CqkOc4q9oUmW1yo/edit?usp=sharing"",""อุตรดิตถ์!J153"")"),1)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IFERROR(__xludf.DUMMYFUNCTION("IMPORTRANGE(""https://docs.google.com/spreadsheets/d/11923uPwbBZFjjGgGUA6NLw09EwE0CqkOc4q9oUmW1yo/edit?usp=sharing"",""อุตรดิตถ์!J154"")"),1)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IFERROR(__xludf.DUMMYFUNCTION("IMPORTRANGE(""https://docs.google.com/spreadsheets/d/11923uPwbBZFjjGgGUA6NLw09EwE0CqkOc4q9oUmW1yo/edit?usp=sharing"",""อุตรดิตถ์!I155"")"),15)</f>
        <v>15</v>
      </c>
      <c r="J235" s="198">
        <f ca="1">IFERROR(__xludf.DUMMYFUNCTION("IMPORTRANGE(""https://docs.google.com/spreadsheets/d/11923uPwbBZFjjGgGUA6NLw09EwE0CqkOc4q9oUmW1yo/edit?usp=sharing"",""อุตรดิตถ์!J155"")"),15)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IFERROR(__xludf.DUMMYFUNCTION("IMPORTRANGE(""https://docs.google.com/spreadsheets/d/11923uPwbBZFjjGgGUA6NLw09EwE0CqkOc4q9oUmW1yo/edit?usp=sharing"",""อุตรดิตถ์!J156"")"),1)</f>
        <v>1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IFERROR(__xludf.DUMMYFUNCTION("IMPORTRANGE(""https://docs.google.com/spreadsheets/d/11923uPwbBZFjjGgGUA6NLw09EwE0CqkOc4q9oUmW1yo/edit?usp=sharing"",""อุตรดิตถ์!J157"")"),0)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IFERROR(__xludf.DUMMYFUNCTION("IMPORTRANGE(""https://docs.google.com/spreadsheets/d/11923uPwbBZFjjGgGUA6NLw09EwE0CqkOc4q9oUmW1yo/edit?usp=sharing"",""อุตรดิตถ์!I158"")"),0)</f>
        <v>0</v>
      </c>
      <c r="J238" s="276">
        <f ca="1">IFERROR(__xludf.DUMMYFUNCTION("IMPORTRANGE(""https://docs.google.com/spreadsheets/d/11923uPwbBZFjjGgGUA6NLw09EwE0CqkOc4q9oUmW1yo/edit?usp=sharing"",""อุตรดิตถ์!J158"")"),0)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IFERROR(__xludf.DUMMYFUNCTION("IMPORTRANGE(""https://docs.google.com/spreadsheets/d/11923uPwbBZFjjGgGUA6NLw09EwE0CqkOc4q9oUmW1yo/edit?usp=sharing"",""อุตรดิตถ์!J159"")"),"")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IFERROR(__xludf.DUMMYFUNCTION("IMPORTRANGE(""https://docs.google.com/spreadsheets/d/11923uPwbBZFjjGgGUA6NLw09EwE0CqkOc4q9oUmW1yo/edit?usp=sharing"",""อุตรดิตถ์!J161"")"),0)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IFERROR(__xludf.DUMMYFUNCTION("IMPORTRANGE(""https://docs.google.com/spreadsheets/d/11923uPwbBZFjjGgGUA6NLw09EwE0CqkOc4q9oUmW1yo/edit?usp=sharing"",""อุตรดิตถ์!J162"")"),0)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IFERROR(__xludf.DUMMYFUNCTION("IMPORTRANGE(""https://docs.google.com/spreadsheets/d/11923uPwbBZFjjGgGUA6NLw09EwE0CqkOc4q9oUmW1yo/edit?usp=sharing"",""อุตรดิตถ์!J163"")"),0)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IFERROR(__xludf.DUMMYFUNCTION("IMPORTRANGE(""https://docs.google.com/spreadsheets/d/11923uPwbBZFjjGgGUA6NLw09EwE0CqkOc4q9oUmW1yo/edit?usp=sharing"",""อุตรดิตถ์!I164"")"),0)</f>
        <v>0</v>
      </c>
      <c r="J244" s="197">
        <f ca="1">IFERROR(__xludf.DUMMYFUNCTION("IMPORTRANGE(""https://docs.google.com/spreadsheets/d/11923uPwbBZFjjGgGUA6NLw09EwE0CqkOc4q9oUmW1yo/edit?usp=sharing"",""อุตรดิตถ์!J164"")"),0)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IFERROR(__xludf.DUMMYFUNCTION("IMPORTRANGE(""https://docs.google.com/spreadsheets/d/11923uPwbBZFjjGgGUA6NLw09EwE0CqkOc4q9oUmW1yo/edit?usp=sharing"",""อุตรดิตถ์!J165"")"),0)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IFERROR(__xludf.DUMMYFUNCTION("IMPORTRANGE(""https://docs.google.com/spreadsheets/d/11923uPwbBZFjjGgGUA6NLw09EwE0CqkOc4q9oUmW1yo/edit?usp=sharing"",""อุตรดิตถ์!J166"")"),0)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IFERROR(__xludf.DUMMYFUNCTION("IMPORTRANGE(""https://docs.google.com/spreadsheets/d/11923uPwbBZFjjGgGUA6NLw09EwE0CqkOc4q9oUmW1yo/edit?usp=sharing"",""อุตรดิตถ์!I169"")"),20)</f>
        <v>20</v>
      </c>
      <c r="J249" s="324">
        <f ca="1">IFERROR(__xludf.DUMMYFUNCTION("IMPORTRANGE(""https://docs.google.com/spreadsheets/d/11923uPwbBZFjjGgGUA6NLw09EwE0CqkOc4q9oUmW1yo/edit?usp=sharing"",""อุตรดิตถ์!J169"")"),10)</f>
        <v>10</v>
      </c>
      <c r="K249" s="325">
        <f ca="1">IF(I249&gt;0,J249*100/I249,0)</f>
        <v>50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203400</v>
      </c>
      <c r="M250" s="158">
        <f t="shared" ca="1" si="77"/>
        <v>103000</v>
      </c>
      <c r="N250" s="158">
        <f t="shared" ca="1" si="77"/>
        <v>49542</v>
      </c>
      <c r="O250" s="157">
        <f t="shared" ref="O250:O252" ca="1" si="78">IF(L250&gt;0,N250*100/L250,0)</f>
        <v>24.356932153392329</v>
      </c>
      <c r="P250" s="157">
        <f t="shared" ref="P250:P252" ca="1" si="79">IF(M250&gt;0,N250*100/M250,0)</f>
        <v>48.099029126213594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203400</v>
      </c>
      <c r="M252" s="163">
        <f t="shared" ca="1" si="81"/>
        <v>103000</v>
      </c>
      <c r="N252" s="163">
        <f t="shared" ca="1" si="81"/>
        <v>49542</v>
      </c>
      <c r="O252" s="162">
        <f t="shared" ca="1" si="78"/>
        <v>24.356932153392329</v>
      </c>
      <c r="P252" s="162">
        <f t="shared" ca="1" si="79"/>
        <v>48.099029126213594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203400</v>
      </c>
      <c r="M254" s="176">
        <f ca="1">IFERROR(__xludf.DUMMYFUNCTION("IMPORTRANGE(""https://docs.google.com/spreadsheets/d/1Yj_ptqi66GCucihVvJfMjLAmec39IyEx_6qawtMGysU/edit?usp=sharing"",""สบก!CB35"")"),103000)</f>
        <v>103000</v>
      </c>
      <c r="N254" s="177">
        <f ca="1">IFERROR(__xludf.DUMMYFUNCTION("IMPORTRANGE(""https://docs.google.com/spreadsheets/d/1Yj_ptqi66GCucihVvJfMjLAmec39IyEx_6qawtMGysU/edit?usp=sharing"",""สบก!CC35"")"),49542)</f>
        <v>49542</v>
      </c>
      <c r="O254" s="178">
        <f ca="1">IF(L254&gt;0,N254*100/L254,0)</f>
        <v>24.356932153392329</v>
      </c>
      <c r="P254" s="178">
        <f ca="1">IF(M254&gt;0,N254*100/M254,0)</f>
        <v>48.099029126213594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IFERROR(__xludf.DUMMYFUNCTION("IMPORTRANGE(""https://docs.google.com/spreadsheets/d/1Yj_ptqi66GCucihVvJfMjLAmec39IyEx_6qawtMGysU/edit?usp=sharing"",""สบก!BX35"")"),132000)</f>
        <v>132000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IFERROR(__xludf.DUMMYFUNCTION("IMPORTRANGE(""https://docs.google.com/spreadsheets/d/1Yj_ptqi66GCucihVvJfMjLAmec39IyEx_6qawtMGysU/edit?usp=sharing"",""สบก!BY35"")"),71400)</f>
        <v>71400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IFERROR(__xludf.DUMMYFUNCTION("IMPORTRANGE(""https://docs.google.com/spreadsheets/d/1Yj_ptqi66GCucihVvJfMjLAmec39IyEx_6qawtMGysU/edit?usp=sharing"",""สบก!BZ35"")"),0)</f>
        <v>0</v>
      </c>
      <c r="M258" s="103"/>
      <c r="N258" s="93">
        <f ca="1">IFERROR(__xludf.DUMMYFUNCTION("IMPORTRANGE(""https://docs.google.com/spreadsheets/d/1Yj_ptqi66GCucihVvJfMjLAmec39IyEx_6qawtMGysU/edit?usp=sharing"",""สบก!CD35"")"),0)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IFERROR(__xludf.DUMMYFUNCTION("IMPORTRANGE(""https://docs.google.com/spreadsheets/d/11923uPwbBZFjjGgGUA6NLw09EwE0CqkOc4q9oUmW1yo/edit?usp=sharing"",""อุตรดิตถ์!J175"")"),0)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IFERROR(__xludf.DUMMYFUNCTION("IMPORTRANGE(""https://docs.google.com/spreadsheets/d/11923uPwbBZFjjGgGUA6NLw09EwE0CqkOc4q9oUmW1yo/edit?usp=sharing"",""อุตรดิตถ์!J176"")"),1)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IFERROR(__xludf.DUMMYFUNCTION("IMPORTRANGE(""https://docs.google.com/spreadsheets/d/11923uPwbBZFjjGgGUA6NLw09EwE0CqkOc4q9oUmW1yo/edit?usp=sharing"",""อุตรดิตถ์!J177"")"),1)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IFERROR(__xludf.DUMMYFUNCTION("IMPORTRANGE(""https://docs.google.com/spreadsheets/d/11923uPwbBZFjjGgGUA6NLw09EwE0CqkOc4q9oUmW1yo/edit?usp=sharing"",""อุตรดิตถ์!J178"")"),1)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IFERROR(__xludf.DUMMYFUNCTION("IMPORTRANGE(""https://docs.google.com/spreadsheets/d/11923uPwbBZFjjGgGUA6NLw09EwE0CqkOc4q9oUmW1yo/edit?usp=sharing"",""อุตรดิตถ์!I179"")"),1)</f>
        <v>1</v>
      </c>
      <c r="J264" s="198">
        <f ca="1">IFERROR(__xludf.DUMMYFUNCTION("IMPORTRANGE(""https://docs.google.com/spreadsheets/d/11923uPwbBZFjjGgGUA6NLw09EwE0CqkOc4q9oUmW1yo/edit?usp=sharing"",""อุตรดิตถ์!J179"")"),1)</f>
        <v>1</v>
      </c>
      <c r="K264" s="171">
        <f t="shared" ref="K264:K267" ca="1" si="82">IF(I264&gt;0,J264*100/I264,0)</f>
        <v>100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IFERROR(__xludf.DUMMYFUNCTION("IMPORTRANGE(""https://docs.google.com/spreadsheets/d/11923uPwbBZFjjGgGUA6NLw09EwE0CqkOc4q9oUmW1yo/edit?usp=sharing"",""อุตรดิตถ์!I180"")"),20)</f>
        <v>20</v>
      </c>
      <c r="J265" s="198">
        <f ca="1">IFERROR(__xludf.DUMMYFUNCTION("IMPORTRANGE(""https://docs.google.com/spreadsheets/d/11923uPwbBZFjjGgGUA6NLw09EwE0CqkOc4q9oUmW1yo/edit?usp=sharing"",""อุตรดิตถ์!J180"")"),10)</f>
        <v>10</v>
      </c>
      <c r="K265" s="171">
        <f t="shared" ca="1" si="82"/>
        <v>50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IFERROR(__xludf.DUMMYFUNCTION("IMPORTRANGE(""https://docs.google.com/spreadsheets/d/11923uPwbBZFjjGgGUA6NLw09EwE0CqkOc4q9oUmW1yo/edit?usp=sharing"",""อุตรดิตถ์!I181"")"),20)</f>
        <v>20</v>
      </c>
      <c r="J266" s="198">
        <f ca="1">IFERROR(__xludf.DUMMYFUNCTION("IMPORTRANGE(""https://docs.google.com/spreadsheets/d/11923uPwbBZFjjGgGUA6NLw09EwE0CqkOc4q9oUmW1yo/edit?usp=sharing"",""อุตรดิตถ์!J181"")"),0)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IFERROR(__xludf.DUMMYFUNCTION("IMPORTRANGE(""https://docs.google.com/spreadsheets/d/11923uPwbBZFjjGgGUA6NLw09EwE0CqkOc4q9oUmW1yo/edit?usp=sharing"",""อุตรดิตถ์!I182"")"),1)</f>
        <v>1</v>
      </c>
      <c r="J267" s="198">
        <f ca="1">IFERROR(__xludf.DUMMYFUNCTION("IMPORTRANGE(""https://docs.google.com/spreadsheets/d/11923uPwbBZFjjGgGUA6NLw09EwE0CqkOc4q9oUmW1yo/edit?usp=sharing"",""อุตรดิตถ์!J182"")"),1)</f>
        <v>1</v>
      </c>
      <c r="K267" s="171">
        <f t="shared" ca="1" si="82"/>
        <v>100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IFERROR(__xludf.DUMMYFUNCTION("IMPORTRANGE(""https://docs.google.com/spreadsheets/d/11923uPwbBZFjjGgGUA6NLw09EwE0CqkOc4q9oUmW1yo/edit?usp=sharing"",""อุตรดิตถ์!J183"")"),0)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IFERROR(__xludf.DUMMYFUNCTION("IMPORTRANGE(""https://docs.google.com/spreadsheets/d/11923uPwbBZFjjGgGUA6NLw09EwE0CqkOc4q9oUmW1yo/edit?usp=sharing"",""อุตรดิตถ์!J184"")"),0)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IFERROR(__xludf.DUMMYFUNCTION("IMPORTRANGE(""https://docs.google.com/spreadsheets/d/11923uPwbBZFjjGgGUA6NLw09EwE0CqkOc4q9oUmW1yo/edit?usp=sharing"",""อุตรดิตถ์!I185"")"),0)</f>
        <v>0</v>
      </c>
      <c r="J270" s="324">
        <f ca="1">IFERROR(__xludf.DUMMYFUNCTION("IMPORTRANGE(""https://docs.google.com/spreadsheets/d/11923uPwbBZFjjGgGUA6NLw09EwE0CqkOc4q9oUmW1yo/edit?usp=sharing"",""อุตรดิตถ์!J185"")"),0)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IFERROR(__xludf.DUMMYFUNCTION("IMPORTRANGE(""https://docs.google.com/spreadsheets/d/1Yj_ptqi66GCucihVvJfMjLAmec39IyEx_6qawtMGysU/edit?usp=sharing"",""สบก!CK35"")"),0)</f>
        <v>0</v>
      </c>
      <c r="N275" s="177">
        <f ca="1">IFERROR(__xludf.DUMMYFUNCTION("IMPORTRANGE(""https://docs.google.com/spreadsheets/d/1Yj_ptqi66GCucihVvJfMjLAmec39IyEx_6qawtMGysU/edit?usp=sharing"",""สบก!CL35"")"),0)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IFERROR(__xludf.DUMMYFUNCTION("IMPORTRANGE(""https://docs.google.com/spreadsheets/d/1Yj_ptqi66GCucihVvJfMjLAmec39IyEx_6qawtMGysU/edit?usp=sharing"",""สบก!CG35"")"),0)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IFERROR(__xludf.DUMMYFUNCTION("IMPORTRANGE(""https://docs.google.com/spreadsheets/d/1Yj_ptqi66GCucihVvJfMjLAmec39IyEx_6qawtMGysU/edit?usp=sharing"",""สบก!CH35"")"),0)</f>
        <v>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IFERROR(__xludf.DUMMYFUNCTION("IMPORTRANGE(""https://docs.google.com/spreadsheets/d/1Yj_ptqi66GCucihVvJfMjLAmec39IyEx_6qawtMGysU/edit?usp=sharing"",""สบก!CI35"")"),0)</f>
        <v>0</v>
      </c>
      <c r="M279" s="103"/>
      <c r="N279" s="93">
        <f ca="1">IFERROR(__xludf.DUMMYFUNCTION("IMPORTRANGE(""https://docs.google.com/spreadsheets/d/1Yj_ptqi66GCucihVvJfMjLAmec39IyEx_6qawtMGysU/edit?usp=sharing"",""สบก!CM35"")"),0)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IFERROR(__xludf.DUMMYFUNCTION("IMPORTRANGE(""https://docs.google.com/spreadsheets/d/11923uPwbBZFjjGgGUA6NLw09EwE0CqkOc4q9oUmW1yo/edit?usp=sharing"",""อุตรดิตถ์!J191"")"),0)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IFERROR(__xludf.DUMMYFUNCTION("IMPORTRANGE(""https://docs.google.com/spreadsheets/d/11923uPwbBZFjjGgGUA6NLw09EwE0CqkOc4q9oUmW1yo/edit?usp=sharing"",""อุตรดิตถ์!J192"")"),0)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IFERROR(__xludf.DUMMYFUNCTION("IMPORTRANGE(""https://docs.google.com/spreadsheets/d/11923uPwbBZFjjGgGUA6NLw09EwE0CqkOc4q9oUmW1yo/edit?usp=sharing"",""อุตรดิตถ์!J193"")"),0)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IFERROR(__xludf.DUMMYFUNCTION("IMPORTRANGE(""https://docs.google.com/spreadsheets/d/11923uPwbBZFjjGgGUA6NLw09EwE0CqkOc4q9oUmW1yo/edit?usp=sharing"",""อุตรดิตถ์!J194"")"),0)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IFERROR(__xludf.DUMMYFUNCTION("IMPORTRANGE(""https://docs.google.com/spreadsheets/d/11923uPwbBZFjjGgGUA6NLw09EwE0CqkOc4q9oUmW1yo/edit?usp=sharing"",""อุตรดิตถ์!I195"")"),0)</f>
        <v>0</v>
      </c>
      <c r="J285" s="198">
        <f ca="1">IFERROR(__xludf.DUMMYFUNCTION("IMPORTRANGE(""https://docs.google.com/spreadsheets/d/11923uPwbBZFjjGgGUA6NLw09EwE0CqkOc4q9oUmW1yo/edit?usp=sharing"",""อุตรดิตถ์!J195"")"),0)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IFERROR(__xludf.DUMMYFUNCTION("IMPORTRANGE(""https://docs.google.com/spreadsheets/d/11923uPwbBZFjjGgGUA6NLw09EwE0CqkOc4q9oUmW1yo/edit?usp=sharing"",""อุตรดิตถ์!J196"")"),0)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IFERROR(__xludf.DUMMYFUNCTION("IMPORTRANGE(""https://docs.google.com/spreadsheets/d/11923uPwbBZFjjGgGUA6NLw09EwE0CqkOc4q9oUmW1yo/edit?usp=sharing"",""อุตรดิตถ์!J197"")"),0)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IFERROR(__xludf.DUMMYFUNCTION("IMPORTRANGE(""https://docs.google.com/spreadsheets/d/11923uPwbBZFjjGgGUA6NLw09EwE0CqkOc4q9oUmW1yo/edit?usp=sharing"",""อุตรดิตถ์!I199"")"),0)</f>
        <v>0</v>
      </c>
      <c r="J289" s="324">
        <f ca="1">IFERROR(__xludf.DUMMYFUNCTION("IMPORTRANGE(""https://docs.google.com/spreadsheets/d/11923uPwbBZFjjGgGUA6NLw09EwE0CqkOc4q9oUmW1yo/edit?usp=sharing"",""อุตรดิตถ์!J199"")"),0)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IFERROR(__xludf.DUMMYFUNCTION("IMPORTRANGE(""https://docs.google.com/spreadsheets/d/1Yj_ptqi66GCucihVvJfMjLAmec39IyEx_6qawtMGysU/edit?usp=sharing"",""สบก!CT35"")"),0)</f>
        <v>0</v>
      </c>
      <c r="N294" s="177">
        <f ca="1">IFERROR(__xludf.DUMMYFUNCTION("IMPORTRANGE(""https://docs.google.com/spreadsheets/d/1Yj_ptqi66GCucihVvJfMjLAmec39IyEx_6qawtMGysU/edit?usp=sharing"",""สบก!CU35"")"),0)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IFERROR(__xludf.DUMMYFUNCTION("IMPORTRANGE(""https://docs.google.com/spreadsheets/d/1Yj_ptqi66GCucihVvJfMjLAmec39IyEx_6qawtMGysU/edit?usp=sharing"",""สบก!CP35"")"),0)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IFERROR(__xludf.DUMMYFUNCTION("IMPORTRANGE(""https://docs.google.com/spreadsheets/d/1Yj_ptqi66GCucihVvJfMjLAmec39IyEx_6qawtMGysU/edit?usp=sharing"",""สบก!CQ35"")"),0)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IFERROR(__xludf.DUMMYFUNCTION("IMPORTRANGE(""https://docs.google.com/spreadsheets/d/1Yj_ptqi66GCucihVvJfMjLAmec39IyEx_6qawtMGysU/edit?usp=sharing"",""สบก!CR35"")"),0)</f>
        <v>0</v>
      </c>
      <c r="M298" s="103"/>
      <c r="N298" s="93">
        <f ca="1">IFERROR(__xludf.DUMMYFUNCTION("IMPORTRANGE(""https://docs.google.com/spreadsheets/d/1Yj_ptqi66GCucihVvJfMjLAmec39IyEx_6qawtMGysU/edit?usp=sharing"",""สบก!CV35"")"),0)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IFERROR(__xludf.DUMMYFUNCTION("IMPORTRANGE(""https://docs.google.com/spreadsheets/d/11923uPwbBZFjjGgGUA6NLw09EwE0CqkOc4q9oUmW1yo/edit?usp=sharing"",""อุตรดิตถ์!J205"")"),0)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IFERROR(__xludf.DUMMYFUNCTION("IMPORTRANGE(""https://docs.google.com/spreadsheets/d/11923uPwbBZFjjGgGUA6NLw09EwE0CqkOc4q9oUmW1yo/edit?usp=sharing"",""อุตรดิตถ์!J206"")"),0)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IFERROR(__xludf.DUMMYFUNCTION("IMPORTRANGE(""https://docs.google.com/spreadsheets/d/11923uPwbBZFjjGgGUA6NLw09EwE0CqkOc4q9oUmW1yo/edit?usp=sharing"",""อุตรดิตถ์!J207"")"),0)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IFERROR(__xludf.DUMMYFUNCTION("IMPORTRANGE(""https://docs.google.com/spreadsheets/d/11923uPwbBZFjjGgGUA6NLw09EwE0CqkOc4q9oUmW1yo/edit?usp=sharing"",""อุตรดิตถ์!J208"")"),0)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IFERROR(__xludf.DUMMYFUNCTION("IMPORTRANGE(""https://docs.google.com/spreadsheets/d/11923uPwbBZFjjGgGUA6NLw09EwE0CqkOc4q9oUmW1yo/edit?usp=sharing"",""อุตรดิตถ์!I209"")"),0)</f>
        <v>0</v>
      </c>
      <c r="J304" s="213">
        <f ca="1">IFERROR(__xludf.DUMMYFUNCTION("IMPORTRANGE(""https://docs.google.com/spreadsheets/d/11923uPwbBZFjjGgGUA6NLw09EwE0CqkOc4q9oUmW1yo/edit?usp=sharing"",""อุตรดิตถ์!J209"")"),0)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IFERROR(__xludf.DUMMYFUNCTION("IMPORTRANGE(""https://docs.google.com/spreadsheets/d/11923uPwbBZFjjGgGUA6NLw09EwE0CqkOc4q9oUmW1yo/edit?usp=sharing"",""อุตรดิตถ์!I211"")"),0)</f>
        <v>0</v>
      </c>
      <c r="J306" s="213">
        <f ca="1">IFERROR(__xludf.DUMMYFUNCTION("IMPORTRANGE(""https://docs.google.com/spreadsheets/d/11923uPwbBZFjjGgGUA6NLw09EwE0CqkOc4q9oUmW1yo/edit?usp=sharing"",""อุตรดิตถ์!J211"")"),0)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IFERROR(__xludf.DUMMYFUNCTION("IMPORTRANGE(""https://docs.google.com/spreadsheets/d/11923uPwbBZFjjGgGUA6NLw09EwE0CqkOc4q9oUmW1yo/edit?usp=sharing"",""อุตรดิตถ์!J212"")"),0)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IFERROR(__xludf.DUMMYFUNCTION("IMPORTRANGE(""https://docs.google.com/spreadsheets/d/11923uPwbBZFjjGgGUA6NLw09EwE0CqkOc4q9oUmW1yo/edit?usp=sharing"",""อุตรดิตถ์!J213"")"),0)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IFERROR(__xludf.DUMMYFUNCTION("IMPORTRANGE(""https://docs.google.com/spreadsheets/d/11923uPwbBZFjjGgGUA6NLw09EwE0CqkOc4q9oUmW1yo/edit?usp=sharing"",""อุตรดิตถ์!I214"")"),0)</f>
        <v>0</v>
      </c>
      <c r="J309" s="341">
        <f ca="1">IFERROR(__xludf.DUMMYFUNCTION("IMPORTRANGE(""https://docs.google.com/spreadsheets/d/11923uPwbBZFjjGgGUA6NLw09EwE0CqkOc4q9oUmW1yo/edit?usp=sharing"",""อุตรดิตถ์!J214"")"),0)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IFERROR(__xludf.DUMMYFUNCTION("IMPORTRANGE(""https://docs.google.com/spreadsheets/d/1Yj_ptqi66GCucihVvJfMjLAmec39IyEx_6qawtMGysU/edit?usp=sharing"",""สบก!DC35"")"),0)</f>
        <v>0</v>
      </c>
      <c r="N314" s="177">
        <f ca="1">IFERROR(__xludf.DUMMYFUNCTION("IMPORTRANGE(""https://docs.google.com/spreadsheets/d/1Yj_ptqi66GCucihVvJfMjLAmec39IyEx_6qawtMGysU/edit?usp=sharing"",""สบก!DD35"")"),0)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IFERROR(__xludf.DUMMYFUNCTION("IMPORTRANGE(""https://docs.google.com/spreadsheets/d/1Yj_ptqi66GCucihVvJfMjLAmec39IyEx_6qawtMGysU/edit?usp=sharing"",""สบก!CY35"")"),0)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IFERROR(__xludf.DUMMYFUNCTION("IMPORTRANGE(""https://docs.google.com/spreadsheets/d/1Yj_ptqi66GCucihVvJfMjLAmec39IyEx_6qawtMGysU/edit?usp=sharing"",""สบก!CZ35"")"),0)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IFERROR(__xludf.DUMMYFUNCTION("IMPORTRANGE(""https://docs.google.com/spreadsheets/d/1Yj_ptqi66GCucihVvJfMjLAmec39IyEx_6qawtMGysU/edit?usp=sharing"",""สบก!DA35"")"),0)</f>
        <v>0</v>
      </c>
      <c r="M318" s="103"/>
      <c r="N318" s="93">
        <f ca="1">IFERROR(__xludf.DUMMYFUNCTION("IMPORTRANGE(""https://docs.google.com/spreadsheets/d/1Yj_ptqi66GCucihVvJfMjLAmec39IyEx_6qawtMGysU/edit?usp=sharing"",""สบก!DE35"")"),0)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IFERROR(__xludf.DUMMYFUNCTION("IMPORTRANGE(""https://docs.google.com/spreadsheets/d/11923uPwbBZFjjGgGUA6NLw09EwE0CqkOc4q9oUmW1yo/edit?usp=sharing"",""อุตรดิตถ์!J220"")"),0)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IFERROR(__xludf.DUMMYFUNCTION("IMPORTRANGE(""https://docs.google.com/spreadsheets/d/11923uPwbBZFjjGgGUA6NLw09EwE0CqkOc4q9oUmW1yo/edit?usp=sharing"",""อุตรดิตถ์!J221"")"),0)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IFERROR(__xludf.DUMMYFUNCTION("IMPORTRANGE(""https://docs.google.com/spreadsheets/d/11923uPwbBZFjjGgGUA6NLw09EwE0CqkOc4q9oUmW1yo/edit?usp=sharing"",""อุตรดิตถ์!J222"")"),0)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IFERROR(__xludf.DUMMYFUNCTION("IMPORTRANGE(""https://docs.google.com/spreadsheets/d/11923uPwbBZFjjGgGUA6NLw09EwE0CqkOc4q9oUmW1yo/edit?usp=sharing"",""อุตรดิตถ์!J223"")"),0)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IFERROR(__xludf.DUMMYFUNCTION("IMPORTRANGE(""https://docs.google.com/spreadsheets/d/11923uPwbBZFjjGgGUA6NLw09EwE0CqkOc4q9oUmW1yo/edit?usp=sharing"",""อุตรดิตถ์!I224"")"),0)</f>
        <v>0</v>
      </c>
      <c r="J324" s="213">
        <f ca="1">IFERROR(__xludf.DUMMYFUNCTION("IMPORTRANGE(""https://docs.google.com/spreadsheets/d/11923uPwbBZFjjGgGUA6NLw09EwE0CqkOc4q9oUmW1yo/edit?usp=sharing"",""อุตรดิตถ์!J224"")"),0)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IFERROR(__xludf.DUMMYFUNCTION("IMPORTRANGE(""https://docs.google.com/spreadsheets/d/11923uPwbBZFjjGgGUA6NLw09EwE0CqkOc4q9oUmW1yo/edit?usp=sharing"",""อุตรดิตถ์!J225"")"),0)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IFERROR(__xludf.DUMMYFUNCTION("IMPORTRANGE(""https://docs.google.com/spreadsheets/d/11923uPwbBZFjjGgGUA6NLw09EwE0CqkOc4q9oUmW1yo/edit?usp=sharing"",""อุตรดิตถ์!J226"")"),0)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IFERROR(__xludf.DUMMYFUNCTION("IMPORTRANGE(""https://docs.google.com/spreadsheets/d/11923uPwbBZFjjGgGUA6NLw09EwE0CqkOc4q9oUmW1yo/edit?usp=sharing"",""อุตรดิตถ์!I228"")"),170)</f>
        <v>170</v>
      </c>
      <c r="J328" s="347">
        <f ca="1">IFERROR(__xludf.DUMMYFUNCTION("IMPORTRANGE(""https://docs.google.com/spreadsheets/d/11923uPwbBZFjjGgGUA6NLw09EwE0CqkOc4q9oUmW1yo/edit?usp=sharing"",""อุตรดิตถ์!J228"")"),66)</f>
        <v>66</v>
      </c>
      <c r="K328" s="325">
        <f ca="1">IF(I328&gt;0,J328*100/I328,0)</f>
        <v>38.823529411764703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906300</v>
      </c>
      <c r="M329" s="158">
        <f t="shared" ca="1" si="98"/>
        <v>467750</v>
      </c>
      <c r="N329" s="158">
        <f t="shared" ca="1" si="98"/>
        <v>303820</v>
      </c>
      <c r="O329" s="157">
        <f t="shared" ref="O329:O331" ca="1" si="99">IF(L329&gt;0,N329*100/L329,0)</f>
        <v>33.523115966015666</v>
      </c>
      <c r="P329" s="157">
        <f t="shared" ref="P329:P331" ca="1" si="100">IF(M329&gt;0,N329*100/M329,0)</f>
        <v>64.953500801710319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906300</v>
      </c>
      <c r="M331" s="163">
        <f t="shared" ca="1" si="102"/>
        <v>467750</v>
      </c>
      <c r="N331" s="163">
        <f t="shared" ca="1" si="102"/>
        <v>303820</v>
      </c>
      <c r="O331" s="162">
        <f t="shared" ca="1" si="99"/>
        <v>33.523115966015666</v>
      </c>
      <c r="P331" s="162">
        <f t="shared" ca="1" si="100"/>
        <v>64.953500801710319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906300</v>
      </c>
      <c r="M333" s="176">
        <f ca="1">IFERROR(__xludf.DUMMYFUNCTION("IMPORTRANGE(""https://docs.google.com/spreadsheets/d/1Yj_ptqi66GCucihVvJfMjLAmec39IyEx_6qawtMGysU/edit?usp=sharing"",""สบก!DL35"")"),467750)</f>
        <v>467750</v>
      </c>
      <c r="N333" s="177">
        <f ca="1">IFERROR(__xludf.DUMMYFUNCTION("IMPORTRANGE(""https://docs.google.com/spreadsheets/d/1Yj_ptqi66GCucihVvJfMjLAmec39IyEx_6qawtMGysU/edit?usp=sharing"",""สบก!DM35"")"),303820)</f>
        <v>303820</v>
      </c>
      <c r="O333" s="178">
        <f ca="1">IF(L333&gt;0,N333*100/L333,0)</f>
        <v>33.523115966015666</v>
      </c>
      <c r="P333" s="178">
        <f ca="1">IF(M333&gt;0,N333*100/M333,0)</f>
        <v>64.953500801710319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IFERROR(__xludf.DUMMYFUNCTION("IMPORTRANGE(""https://docs.google.com/spreadsheets/d/1Yj_ptqi66GCucihVvJfMjLAmec39IyEx_6qawtMGysU/edit?usp=sharing"",""สบก!DH35"")"),614000)</f>
        <v>614000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IFERROR(__xludf.DUMMYFUNCTION("IMPORTRANGE(""https://docs.google.com/spreadsheets/d/1Yj_ptqi66GCucihVvJfMjLAmec39IyEx_6qawtMGysU/edit?usp=sharing"",""สบก!DI35"")"),292300)</f>
        <v>292300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IFERROR(__xludf.DUMMYFUNCTION("IMPORTRANGE(""https://docs.google.com/spreadsheets/d/1Yj_ptqi66GCucihVvJfMjLAmec39IyEx_6qawtMGysU/edit?usp=sharing"",""สบก!DJ35"")"),0)</f>
        <v>0</v>
      </c>
      <c r="M337" s="103"/>
      <c r="N337" s="93">
        <f ca="1">IFERROR(__xludf.DUMMYFUNCTION("IMPORTRANGE(""https://docs.google.com/spreadsheets/d/1Yj_ptqi66GCucihVvJfMjLAmec39IyEx_6qawtMGysU/edit?usp=sharing"",""สบก!DN35"")"),0)</f>
        <v>0</v>
      </c>
      <c r="O337" s="103">
        <f ca="1">IF(L337&gt;0,N337*100/L337,0)</f>
        <v>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IFERROR(__xludf.DUMMYFUNCTION("IMPORTRANGE(""https://docs.google.com/spreadsheets/d/11923uPwbBZFjjGgGUA6NLw09EwE0CqkOc4q9oUmW1yo/edit?usp=sharing"",""อุตรดิตถ์!I234"")"),0)</f>
        <v>0</v>
      </c>
      <c r="J339" s="197">
        <f ca="1">IFERROR(__xludf.DUMMYFUNCTION("IMPORTRANGE(""https://docs.google.com/spreadsheets/d/11923uPwbBZFjjGgGUA6NLw09EwE0CqkOc4q9oUmW1yo/edit?usp=sharing"",""อุตรดิตถ์!J234"")"),34)</f>
        <v>34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IFERROR(__xludf.DUMMYFUNCTION("IMPORTRANGE(""https://docs.google.com/spreadsheets/d/11923uPwbBZFjjGgGUA6NLw09EwE0CqkOc4q9oUmW1yo/edit?usp=sharing"",""อุตรดิตถ์!I235"")"),800)</f>
        <v>800</v>
      </c>
      <c r="J340" s="197">
        <f ca="1">IFERROR(__xludf.DUMMYFUNCTION("IMPORTRANGE(""https://docs.google.com/spreadsheets/d/11923uPwbBZFjjGgGUA6NLw09EwE0CqkOc4q9oUmW1yo/edit?usp=sharing"",""อุตรดิตถ์!J235"")"),163.01)</f>
        <v>163.01</v>
      </c>
      <c r="K340" s="350">
        <f t="shared" ca="1" si="103"/>
        <v>20.376249999999999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IFERROR(__xludf.DUMMYFUNCTION("IMPORTRANGE(""https://docs.google.com/spreadsheets/d/11923uPwbBZFjjGgGUA6NLw09EwE0CqkOc4q9oUmW1yo/edit?usp=sharing"",""อุตรดิตถ์!I236"")"),170)</f>
        <v>170</v>
      </c>
      <c r="J341" s="197">
        <f ca="1">IFERROR(__xludf.DUMMYFUNCTION("IMPORTRANGE(""https://docs.google.com/spreadsheets/d/11923uPwbBZFjjGgGUA6NLw09EwE0CqkOc4q9oUmW1yo/edit?usp=sharing"",""อุตรดิตถ์!J236"")"),91)</f>
        <v>91</v>
      </c>
      <c r="K341" s="350">
        <f t="shared" ca="1" si="103"/>
        <v>53.529411764705884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IFERROR(__xludf.DUMMYFUNCTION("IMPORTRANGE(""https://docs.google.com/spreadsheets/d/11923uPwbBZFjjGgGUA6NLw09EwE0CqkOc4q9oUmW1yo/edit?usp=sharing"",""อุตรดิตถ์!I237"")"),0)</f>
        <v>0</v>
      </c>
      <c r="J342" s="197">
        <f ca="1">IFERROR(__xludf.DUMMYFUNCTION("IMPORTRANGE(""https://docs.google.com/spreadsheets/d/11923uPwbBZFjjGgGUA6NLw09EwE0CqkOc4q9oUmW1yo/edit?usp=sharing"",""อุตรดิตถ์!J237"")"),955.849999999999)</f>
        <v>955.849999999999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IFERROR(__xludf.DUMMYFUNCTION("IMPORTRANGE(""https://docs.google.com/spreadsheets/d/11923uPwbBZFjjGgGUA6NLw09EwE0CqkOc4q9oUmW1yo/edit?usp=sharing"",""อุตรดิตถ์!I238"")"),170)</f>
        <v>170</v>
      </c>
      <c r="J343" s="197">
        <f ca="1">IFERROR(__xludf.DUMMYFUNCTION("IMPORTRANGE(""https://docs.google.com/spreadsheets/d/11923uPwbBZFjjGgGUA6NLw09EwE0CqkOc4q9oUmW1yo/edit?usp=sharing"",""อุตรดิตถ์!J238"")"),0)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IFERROR(__xludf.DUMMYFUNCTION("IMPORTRANGE(""https://docs.google.com/spreadsheets/d/11923uPwbBZFjjGgGUA6NLw09EwE0CqkOc4q9oUmW1yo/edit?usp=sharing"",""อุตรดิตถ์!I239"")"),0)</f>
        <v>0</v>
      </c>
      <c r="J344" s="197">
        <f ca="1">IFERROR(__xludf.DUMMYFUNCTION("IMPORTRANGE(""https://docs.google.com/spreadsheets/d/11923uPwbBZFjjGgGUA6NLw09EwE0CqkOc4q9oUmW1yo/edit?usp=sharing"",""อุตรดิตถ์!J239"")"),0)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IFERROR(__xludf.DUMMYFUNCTION("IMPORTRANGE(""https://docs.google.com/spreadsheets/d/11923uPwbBZFjjGgGUA6NLw09EwE0CqkOc4q9oUmW1yo/edit?usp=sharing"",""อุตรดิตถ์!I240"")"),170)</f>
        <v>170</v>
      </c>
      <c r="J345" s="197">
        <f ca="1">IFERROR(__xludf.DUMMYFUNCTION("IMPORTRANGE(""https://docs.google.com/spreadsheets/d/11923uPwbBZFjjGgGUA6NLw09EwE0CqkOc4q9oUmW1yo/edit?usp=sharing"",""อุตรดิตถ์!J240"")"),66)</f>
        <v>66</v>
      </c>
      <c r="K345" s="350">
        <f t="shared" ca="1" si="103"/>
        <v>38.823529411764703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IFERROR(__xludf.DUMMYFUNCTION("IMPORTRANGE(""https://docs.google.com/spreadsheets/d/11923uPwbBZFjjGgGUA6NLw09EwE0CqkOc4q9oUmW1yo/edit?usp=sharing"",""อุตรดิตถ์!I241"")"),0)</f>
        <v>0</v>
      </c>
      <c r="J346" s="197">
        <f ca="1">IFERROR(__xludf.DUMMYFUNCTION("IMPORTRANGE(""https://docs.google.com/spreadsheets/d/11923uPwbBZFjjGgGUA6NLw09EwE0CqkOc4q9oUmW1yo/edit?usp=sharing"",""อุตรดิตถ์!J241"")"),774.53)</f>
        <v>774.53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IFERROR(__xludf.DUMMYFUNCTION("IMPORTRANGE(""https://docs.google.com/spreadsheets/d/11923uPwbBZFjjGgGUA6NLw09EwE0CqkOc4q9oUmW1yo/edit?usp=sharing"",""อุตรดิตถ์!L242"")"),2200927)</f>
        <v>2200927</v>
      </c>
      <c r="M347" s="366"/>
      <c r="N347" s="366">
        <f ca="1">IFERROR(__xludf.DUMMYFUNCTION("IMPORTRANGE(""https://docs.google.com/spreadsheets/d/11923uPwbBZFjjGgGUA6NLw09EwE0CqkOc4q9oUmW1yo/edit?usp=sharing"",""อุตรดิตถ์!M242"")"),335382.4)</f>
        <v>335382.40000000002</v>
      </c>
      <c r="O347" s="366">
        <f ca="1">+IF(L347&gt;0,N347*100/L347,0)</f>
        <v>15.238233707887632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IFERROR(__xludf.DUMMYFUNCTION("IMPORTRANGE(""https://docs.google.com/spreadsheets/d/11923uPwbBZFjjGgGUA6NLw09EwE0CqkOc4q9oUmW1yo/edit?usp=sharing"",""อุตรดิตถ์!I244"")"),30)</f>
        <v>30</v>
      </c>
      <c r="J349" s="379">
        <f ca="1">IFERROR(__xludf.DUMMYFUNCTION("IMPORTRANGE(""https://docs.google.com/spreadsheets/d/11923uPwbBZFjjGgGUA6NLw09EwE0CqkOc4q9oUmW1yo/edit?usp=sharing"",""อุตรดิตถ์!J244"")"),0)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IFERROR(__xludf.DUMMYFUNCTION("IMPORTRANGE(""https://docs.google.com/spreadsheets/d/11923uPwbBZFjjGgGUA6NLw09EwE0CqkOc4q9oUmW1yo/edit?usp=sharing"",""อุตรดิตถ์!L244"")"),257760)</f>
        <v>257760</v>
      </c>
      <c r="M349" s="381"/>
      <c r="N349" s="381">
        <f ca="1">IFERROR(__xludf.DUMMYFUNCTION("IMPORTRANGE(""https://docs.google.com/spreadsheets/d/11923uPwbBZFjjGgGUA6NLw09EwE0CqkOc4q9oUmW1yo/edit?usp=sharing"",""อุตรดิตถ์!M244"")"),51980)</f>
        <v>51980</v>
      </c>
      <c r="O349" s="381">
        <f ca="1">+IF(L349&gt;0,N349*100/L349,0)</f>
        <v>20.166045934202359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IFERROR(__xludf.DUMMYFUNCTION("IMPORTRANGE(""https://docs.google.com/spreadsheets/d/11923uPwbBZFjjGgGUA6NLw09EwE0CqkOc4q9oUmW1yo/edit?usp=sharing"",""อุตรดิตถ์!I245"")"),30)</f>
        <v>30</v>
      </c>
      <c r="J350" s="379">
        <f ca="1">IFERROR(__xludf.DUMMYFUNCTION("IMPORTRANGE(""https://docs.google.com/spreadsheets/d/11923uPwbBZFjjGgGUA6NLw09EwE0CqkOc4q9oUmW1yo/edit?usp=sharing"",""อุตรดิตถ์!J245"")"),0)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IFERROR(__xludf.DUMMYFUNCTION("IMPORTRANGE(""https://docs.google.com/spreadsheets/d/11923uPwbBZFjjGgGUA6NLw09EwE0CqkOc4q9oUmW1yo/edit?usp=sharing"",""อุตรดิตถ์!L246"")"),0)</f>
        <v>0</v>
      </c>
      <c r="M351" s="172"/>
      <c r="N351" s="172">
        <f ca="1">IFERROR(__xludf.DUMMYFUNCTION("IMPORTRANGE(""https://docs.google.com/spreadsheets/d/11923uPwbBZFjjGgGUA6NLw09EwE0CqkOc4q9oUmW1yo/edit?usp=sharing"",""อุตรดิตถ์!M246"")"),0)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IFERROR(__xludf.DUMMYFUNCTION("IMPORTRANGE(""https://docs.google.com/spreadsheets/d/11923uPwbBZFjjGgGUA6NLw09EwE0CqkOc4q9oUmW1yo/edit?usp=sharing"",""อุตรดิตถ์!L247"")"),257760)</f>
        <v>257760</v>
      </c>
      <c r="M352" s="173"/>
      <c r="N352" s="172">
        <f ca="1">IFERROR(__xludf.DUMMYFUNCTION("IMPORTRANGE(""https://docs.google.com/spreadsheets/d/11923uPwbBZFjjGgGUA6NLw09EwE0CqkOc4q9oUmW1yo/edit?usp=sharing"",""อุตรดิตถ์!M247"")"),51980)</f>
        <v>51980</v>
      </c>
      <c r="O352" s="173">
        <f t="shared" ca="1" si="105"/>
        <v>20.166045934202359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IFERROR(__xludf.DUMMYFUNCTION("IMPORTRANGE(""https://docs.google.com/spreadsheets/d/11923uPwbBZFjjGgGUA6NLw09EwE0CqkOc4q9oUmW1yo/edit?usp=sharing"",""อุตรดิตถ์!L248"")"),0)</f>
        <v>0</v>
      </c>
      <c r="M353" s="178"/>
      <c r="N353" s="178">
        <f ca="1">IFERROR(__xludf.DUMMYFUNCTION("IMPORTRANGE(""https://docs.google.com/spreadsheets/d/11923uPwbBZFjjGgGUA6NLw09EwE0CqkOc4q9oUmW1yo/edit?usp=sharing"",""อุตรดิตถ์!M248"")"),0)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IFERROR(__xludf.DUMMYFUNCTION("IMPORTRANGE(""https://docs.google.com/spreadsheets/d/11923uPwbBZFjjGgGUA6NLw09EwE0CqkOc4q9oUmW1yo/edit?usp=sharing"",""อุตรดิตถ์!L249"")"),257760)</f>
        <v>257760</v>
      </c>
      <c r="M354" s="178"/>
      <c r="N354" s="175">
        <f ca="1">IFERROR(__xludf.DUMMYFUNCTION("IMPORTRANGE(""https://docs.google.com/spreadsheets/d/11923uPwbBZFjjGgGUA6NLw09EwE0CqkOc4q9oUmW1yo/edit?usp=sharing"",""อุตรดิตถ์!M249"")"),51980)</f>
        <v>51980</v>
      </c>
      <c r="O354" s="178">
        <f t="shared" ca="1" si="105"/>
        <v>20.166045934202359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IFERROR(__xludf.DUMMYFUNCTION("IMPORTRANGE(""https://docs.google.com/spreadsheets/d/11923uPwbBZFjjGgGUA6NLw09EwE0CqkOc4q9oUmW1yo/edit?usp=sharing"",""อุตรดิตถ์!M250"")"),19575)</f>
        <v>19575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IFERROR(__xludf.DUMMYFUNCTION("IMPORTRANGE(""https://docs.google.com/spreadsheets/d/11923uPwbBZFjjGgGUA6NLw09EwE0CqkOc4q9oUmW1yo/edit?usp=sharing"",""อุตรดิตถ์!M251"")"),0)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IFERROR(__xludf.DUMMYFUNCTION("IMPORTRANGE(""https://docs.google.com/spreadsheets/d/11923uPwbBZFjjGgGUA6NLw09EwE0CqkOc4q9oUmW1yo/edit?usp=sharing"",""อุตรดิตถ์!M252"")"),31565)</f>
        <v>31565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IFERROR(__xludf.DUMMYFUNCTION("IMPORTRANGE(""https://docs.google.com/spreadsheets/d/11923uPwbBZFjjGgGUA6NLw09EwE0CqkOc4q9oUmW1yo/edit?usp=sharing"",""อุตรดิตถ์!M253"")"),840)</f>
        <v>840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IFERROR(__xludf.DUMMYFUNCTION("IMPORTRANGE(""https://docs.google.com/spreadsheets/d/11923uPwbBZFjjGgGUA6NLw09EwE0CqkOc4q9oUmW1yo/edit?usp=sharing"",""อุตรดิตถ์!J255"")"),0)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IFERROR(__xludf.DUMMYFUNCTION("IMPORTRANGE(""https://docs.google.com/spreadsheets/d/11923uPwbBZFjjGgGUA6NLw09EwE0CqkOc4q9oUmW1yo/edit?usp=sharing"",""อุตรดิตถ์!J256"")"),1)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IFERROR(__xludf.DUMMYFUNCTION("IMPORTRANGE(""https://docs.google.com/spreadsheets/d/11923uPwbBZFjjGgGUA6NLw09EwE0CqkOc4q9oUmW1yo/edit?usp=sharing"",""อุตรดิตถ์!J257"")"),1)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IFERROR(__xludf.DUMMYFUNCTION("IMPORTRANGE(""https://docs.google.com/spreadsheets/d/11923uPwbBZFjjGgGUA6NLw09EwE0CqkOc4q9oUmW1yo/edit?usp=sharing"",""อุตรดิตถ์!J258"")"),1)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IFERROR(__xludf.DUMMYFUNCTION("IMPORTRANGE(""https://docs.google.com/spreadsheets/d/11923uPwbBZFjjGgGUA6NLw09EwE0CqkOc4q9oUmW1yo/edit?usp=sharing"",""อุตรดิตถ์!J166"")"),0)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IFERROR(__xludf.DUMMYFUNCTION("IMPORTRANGE(""https://docs.google.com/spreadsheets/d/11923uPwbBZFjjGgGUA6NLw09EwE0CqkOc4q9oUmW1yo/edit?usp=sharing"",""อุตรดิตถ์!J166"")"),0)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IFERROR(__xludf.DUMMYFUNCTION("IMPORTRANGE(""https://docs.google.com/spreadsheets/d/11923uPwbBZFjjGgGUA6NLw09EwE0CqkOc4q9oUmW1yo/edit?usp=sharing"",""อุตรดิตถ์!J166"")"),0)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IFERROR(__xludf.DUMMYFUNCTION("IMPORTRANGE(""https://docs.google.com/spreadsheets/d/11923uPwbBZFjjGgGUA6NLw09EwE0CqkOc4q9oUmW1yo/edit?usp=sharing"",""อุตรดิตถ์!J166"")"),0)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IFERROR(__xludf.DUMMYFUNCTION("IMPORTRANGE(""https://docs.google.com/spreadsheets/d/11923uPwbBZFjjGgGUA6NLw09EwE0CqkOc4q9oUmW1yo/edit?usp=sharing"",""อุตรดิตถ์!I263"")"),30)</f>
        <v>30</v>
      </c>
      <c r="J368" s="197">
        <f ca="1">IFERROR(__xludf.DUMMYFUNCTION("IMPORTRANGE(""https://docs.google.com/spreadsheets/d/11923uPwbBZFjjGgGUA6NLw09EwE0CqkOc4q9oUmW1yo/edit?usp=sharing"",""อุตรดิตถ์!J263"")"),0)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IFERROR(__xludf.DUMMYFUNCTION("IMPORTRANGE(""https://docs.google.com/spreadsheets/d/11923uPwbBZFjjGgGUA6NLw09EwE0CqkOc4q9oUmW1yo/edit?usp=sharing"",""อุตรดิตถ์!I164"")"),0)</f>
        <v>0</v>
      </c>
      <c r="J369" s="213">
        <f ca="1">IFERROR(__xludf.DUMMYFUNCTION("IMPORTRANGE(""https://docs.google.com/spreadsheets/d/11923uPwbBZFjjGgGUA6NLw09EwE0CqkOc4q9oUmW1yo/edit?usp=sharing"",""อุตรดิตถ์!J164"")"),0)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IFERROR(__xludf.DUMMYFUNCTION("IMPORTRANGE(""https://docs.google.com/spreadsheets/d/11923uPwbBZFjjGgGUA6NLw09EwE0CqkOc4q9oUmW1yo/edit?usp=sharing"",""อุตรดิตถ์!I265"")"),30)</f>
        <v>30</v>
      </c>
      <c r="J370" s="213">
        <f ca="1">IFERROR(__xludf.DUMMYFUNCTION("IMPORTRANGE(""https://docs.google.com/spreadsheets/d/11923uPwbBZFjjGgGUA6NLw09EwE0CqkOc4q9oUmW1yo/edit?usp=sharing"",""อุตรดิตถ์!J265"")"),30)</f>
        <v>30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IFERROR(__xludf.DUMMYFUNCTION("IMPORTRANGE(""https://docs.google.com/spreadsheets/d/11923uPwbBZFjjGgGUA6NLw09EwE0CqkOc4q9oUmW1yo/edit?usp=sharing"",""อุตรดิตถ์!I164"")"),0)</f>
        <v>0</v>
      </c>
      <c r="J371" s="198">
        <f ca="1">IFERROR(__xludf.DUMMYFUNCTION("IMPORTRANGE(""https://docs.google.com/spreadsheets/d/11923uPwbBZFjjGgGUA6NLw09EwE0CqkOc4q9oUmW1yo/edit?usp=sharing"",""อุตรดิตถ์!J164"")"),0)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IFERROR(__xludf.DUMMYFUNCTION("IMPORTRANGE(""https://docs.google.com/spreadsheets/d/11923uPwbBZFjjGgGUA6NLw09EwE0CqkOc4q9oUmW1yo/edit?usp=sharing"",""อุตรดิตถ์!I267"")"),30)</f>
        <v>30</v>
      </c>
      <c r="J372" s="198">
        <f ca="1">IFERROR(__xludf.DUMMYFUNCTION("IMPORTRANGE(""https://docs.google.com/spreadsheets/d/11923uPwbBZFjjGgGUA6NLw09EwE0CqkOc4q9oUmW1yo/edit?usp=sharing"",""อุตรดิตถ์!J267"")"),0)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IFERROR(__xludf.DUMMYFUNCTION("IMPORTRANGE(""https://docs.google.com/spreadsheets/d/11923uPwbBZFjjGgGUA6NLw09EwE0CqkOc4q9oUmW1yo/edit?usp=sharing"",""อุตรดิตถ์!I164"")"),0)</f>
        <v>0</v>
      </c>
      <c r="J373" s="213">
        <f ca="1">IFERROR(__xludf.DUMMYFUNCTION("IMPORTRANGE(""https://docs.google.com/spreadsheets/d/11923uPwbBZFjjGgGUA6NLw09EwE0CqkOc4q9oUmW1yo/edit?usp=sharing"",""อุตรดิตถ์!J164"")"),0)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IFERROR(__xludf.DUMMYFUNCTION("IMPORTRANGE(""https://docs.google.com/spreadsheets/d/11923uPwbBZFjjGgGUA6NLw09EwE0CqkOc4q9oUmW1yo/edit?usp=sharing"",""อุตรดิตถ์!I164"")"),0)</f>
        <v>0</v>
      </c>
      <c r="J374" s="197">
        <f ca="1">IFERROR(__xludf.DUMMYFUNCTION("IMPORTRANGE(""https://docs.google.com/spreadsheets/d/11923uPwbBZFjjGgGUA6NLw09EwE0CqkOc4q9oUmW1yo/edit?usp=sharing"",""อุตรดิตถ์!J164"")"),0)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IFERROR(__xludf.DUMMYFUNCTION("IMPORTRANGE(""https://docs.google.com/spreadsheets/d/11923uPwbBZFjjGgGUA6NLw09EwE0CqkOc4q9oUmW1yo/edit?usp=sharing"",""อุตรดิตถ์!I270"")"),30)</f>
        <v>30</v>
      </c>
      <c r="J375" s="197">
        <f ca="1">IFERROR(__xludf.DUMMYFUNCTION("IMPORTRANGE(""https://docs.google.com/spreadsheets/d/11923uPwbBZFjjGgGUA6NLw09EwE0CqkOc4q9oUmW1yo/edit?usp=sharing"",""อุตรดิตถ์!J270"")"),0)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IFERROR(__xludf.DUMMYFUNCTION("IMPORTRANGE(""https://docs.google.com/spreadsheets/d/11923uPwbBZFjjGgGUA6NLw09EwE0CqkOc4q9oUmW1yo/edit?usp=sharing"",""อุตรดิตถ์!I271"")"),20)</f>
        <v>20</v>
      </c>
      <c r="J376" s="198">
        <f ca="1">IFERROR(__xludf.DUMMYFUNCTION("IMPORTRANGE(""https://docs.google.com/spreadsheets/d/11923uPwbBZFjjGgGUA6NLw09EwE0CqkOc4q9oUmW1yo/edit?usp=sharing"",""อุตรดิตถ์!J271"")"),0)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IFERROR(__xludf.DUMMYFUNCTION("IMPORTRANGE(""https://docs.google.com/spreadsheets/d/11923uPwbBZFjjGgGUA6NLw09EwE0CqkOc4q9oUmW1yo/edit?usp=sharing"",""อุตรดิตถ์!I272"")"),10)</f>
        <v>10</v>
      </c>
      <c r="J377" s="213">
        <f ca="1">IFERROR(__xludf.DUMMYFUNCTION("IMPORTRANGE(""https://docs.google.com/spreadsheets/d/11923uPwbBZFjjGgGUA6NLw09EwE0CqkOc4q9oUmW1yo/edit?usp=sharing"",""อุตรดิตถ์!J272"")"),0)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IFERROR(__xludf.DUMMYFUNCTION("IMPORTRANGE(""https://docs.google.com/spreadsheets/d/11923uPwbBZFjjGgGUA6NLw09EwE0CqkOc4q9oUmW1yo/edit?usp=sharing"",""อุตรดิตถ์!J273"")"),0)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IFERROR(__xludf.DUMMYFUNCTION("IMPORTRANGE(""https://docs.google.com/spreadsheets/d/11923uPwbBZFjjGgGUA6NLw09EwE0CqkOc4q9oUmW1yo/edit?usp=sharing"",""อุตรดิตถ์!J274"")"),0)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IFERROR(__xludf.DUMMYFUNCTION("IMPORTRANGE(""https://docs.google.com/spreadsheets/d/11923uPwbBZFjjGgGUA6NLw09EwE0CqkOc4q9oUmW1yo/edit?usp=sharing"",""อุตรดิตถ์!I275"")"),1000)</f>
        <v>1000</v>
      </c>
      <c r="J380" s="379">
        <f ca="1">IFERROR(__xludf.DUMMYFUNCTION("IMPORTRANGE(""https://docs.google.com/spreadsheets/d/11923uPwbBZFjjGgGUA6NLw09EwE0CqkOc4q9oUmW1yo/edit?usp=sharing"",""อุตรดิตถ์!J275"")"),0)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IFERROR(__xludf.DUMMYFUNCTION("IMPORTRANGE(""https://docs.google.com/spreadsheets/d/11923uPwbBZFjjGgGUA6NLw09EwE0CqkOc4q9oUmW1yo/edit?usp=sharing"",""อุตรดิตถ์!L275"")"),1028520)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IFERROR(__xludf.DUMMYFUNCTION("IMPORTRANGE(""https://docs.google.com/spreadsheets/d/11923uPwbBZFjjGgGUA6NLw09EwE0CqkOc4q9oUmW1yo/edit?usp=sharing"",""อุตรดิตถ์!M275"")"),76589)</f>
        <v>76589</v>
      </c>
      <c r="O380" s="381">
        <f ca="1">+IF(L380&gt;0,N380*100/L380,0)</f>
        <v>7.4465251040329798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IFERROR(__xludf.DUMMYFUNCTION("IMPORTRANGE(""https://docs.google.com/spreadsheets/d/11923uPwbBZFjjGgGUA6NLw09EwE0CqkOc4q9oUmW1yo/edit?usp=sharing"",""อุตรดิตถ์!I276"")"),100)</f>
        <v>100</v>
      </c>
      <c r="J381" s="379">
        <f ca="1">IFERROR(__xludf.DUMMYFUNCTION("IMPORTRANGE(""https://docs.google.com/spreadsheets/d/11923uPwbBZFjjGgGUA6NLw09EwE0CqkOc4q9oUmW1yo/edit?usp=sharing"",""อุตรดิตถ์!J276"")"),0)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IFERROR(__xludf.DUMMYFUNCTION("IMPORTRANGE(""https://docs.google.com/spreadsheets/d/11923uPwbBZFjjGgGUA6NLw09EwE0CqkOc4q9oUmW1yo/edit?usp=sharing"",""อุตรดิตถ์!L277"")"),0)</f>
        <v>0</v>
      </c>
      <c r="M382" s="172"/>
      <c r="N382" s="172">
        <f ca="1">IFERROR(__xludf.DUMMYFUNCTION("IMPORTRANGE(""https://docs.google.com/spreadsheets/d/11923uPwbBZFjjGgGUA6NLw09EwE0CqkOc4q9oUmW1yo/edit?usp=sharing"",""อุตรดิตถ์!M277"")"),0)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IFERROR(__xludf.DUMMYFUNCTION("IMPORTRANGE(""https://docs.google.com/spreadsheets/d/11923uPwbBZFjjGgGUA6NLw09EwE0CqkOc4q9oUmW1yo/edit?usp=sharing"",""อุตรดิตถ์!L278"")"),1028520)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IFERROR(__xludf.DUMMYFUNCTION("IMPORTRANGE(""https://docs.google.com/spreadsheets/d/11923uPwbBZFjjGgGUA6NLw09EwE0CqkOc4q9oUmW1yo/edit?usp=sharing"",""อุตรดิตถ์!M278"")"),76589)</f>
        <v>76589</v>
      </c>
      <c r="O383" s="173">
        <f t="shared" ca="1" si="109"/>
        <v>7.4465251040329798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IFERROR(__xludf.DUMMYFUNCTION("IMPORTRANGE(""https://docs.google.com/spreadsheets/d/11923uPwbBZFjjGgGUA6NLw09EwE0CqkOc4q9oUmW1yo/edit?usp=sharing"",""อุตรดิตถ์!L279"")"),0)</f>
        <v>0</v>
      </c>
      <c r="M384" s="178"/>
      <c r="N384" s="178">
        <f ca="1">IFERROR(__xludf.DUMMYFUNCTION("IMPORTRANGE(""https://docs.google.com/spreadsheets/d/11923uPwbBZFjjGgGUA6NLw09EwE0CqkOc4q9oUmW1yo/edit?usp=sharing"",""อุตรดิตถ์!M279"")"),0)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IFERROR(__xludf.DUMMYFUNCTION("IMPORTRANGE(""https://docs.google.com/spreadsheets/d/11923uPwbBZFjjGgGUA6NLw09EwE0CqkOc4q9oUmW1yo/edit?usp=sharing"",""อุตรดิตถ์!L280"")"),1028520)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IFERROR(__xludf.DUMMYFUNCTION("IMPORTRANGE(""https://docs.google.com/spreadsheets/d/11923uPwbBZFjjGgGUA6NLw09EwE0CqkOc4q9oUmW1yo/edit?usp=sharing"",""อุตรดิตถ์!M280"")"),76589)</f>
        <v>76589</v>
      </c>
      <c r="O385" s="178">
        <f t="shared" ca="1" si="109"/>
        <v>7.4465251040329798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IFERROR(__xludf.DUMMYFUNCTION("IMPORTRANGE(""https://docs.google.com/spreadsheets/d/11923uPwbBZFjjGgGUA6NLw09EwE0CqkOc4q9oUmW1yo/edit?usp=sharing"",""อุตรดิตถ์!M281"")"),11845)</f>
        <v>11845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IFERROR(__xludf.DUMMYFUNCTION("IMPORTRANGE(""https://docs.google.com/spreadsheets/d/11923uPwbBZFjjGgGUA6NLw09EwE0CqkOc4q9oUmW1yo/edit?usp=sharing"",""อุตรดิตถ์!M282"")"),0)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IFERROR(__xludf.DUMMYFUNCTION("IMPORTRANGE(""https://docs.google.com/spreadsheets/d/11923uPwbBZFjjGgGUA6NLw09EwE0CqkOc4q9oUmW1yo/edit?usp=sharing"",""อุตรดิตถ์!M283"")"),52500)</f>
        <v>52500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IFERROR(__xludf.DUMMYFUNCTION("IMPORTRANGE(""https://docs.google.com/spreadsheets/d/11923uPwbBZFjjGgGUA6NLw09EwE0CqkOc4q9oUmW1yo/edit?usp=sharing"",""อุตรดิตถ์!M284"")"),12244)</f>
        <v>12244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IFERROR(__xludf.DUMMYFUNCTION("IMPORTRANGE(""https://docs.google.com/spreadsheets/d/11923uPwbBZFjjGgGUA6NLw09EwE0CqkOc4q9oUmW1yo/edit?usp=sharing"",""อุตรดิตถ์!J286"")"),0)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IFERROR(__xludf.DUMMYFUNCTION("IMPORTRANGE(""https://docs.google.com/spreadsheets/d/11923uPwbBZFjjGgGUA6NLw09EwE0CqkOc4q9oUmW1yo/edit?usp=sharing"",""อุตรดิตถ์!J287"")"),1)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IFERROR(__xludf.DUMMYFUNCTION("IMPORTRANGE(""https://docs.google.com/spreadsheets/d/11923uPwbBZFjjGgGUA6NLw09EwE0CqkOc4q9oUmW1yo/edit?usp=sharing"",""อุตรดิตถ์!J288"")"),1)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IFERROR(__xludf.DUMMYFUNCTION("IMPORTRANGE(""https://docs.google.com/spreadsheets/d/11923uPwbBZFjjGgGUA6NLw09EwE0CqkOc4q9oUmW1yo/edit?usp=sharing"",""อุตรดิตถ์!J289"")"),1)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IFERROR(__xludf.DUMMYFUNCTION("IMPORTRANGE(""https://docs.google.com/spreadsheets/d/11923uPwbBZFjjGgGUA6NLw09EwE0CqkOc4q9oUmW1yo/edit?usp=sharing"",""อุตรดิตถ์!I291"")"),100)</f>
        <v>100</v>
      </c>
      <c r="J396" s="207">
        <f ca="1">IFERROR(__xludf.DUMMYFUNCTION("IMPORTRANGE(""https://docs.google.com/spreadsheets/d/11923uPwbBZFjjGgGUA6NLw09EwE0CqkOc4q9oUmW1yo/edit?usp=sharing"",""อุตรดิตถ์!J291"")"),0)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IFERROR(__xludf.DUMMYFUNCTION("IMPORTRANGE(""https://docs.google.com/spreadsheets/d/11923uPwbBZFjjGgGUA6NLw09EwE0CqkOc4q9oUmW1yo/edit?usp=sharing"",""อุตรดิตถ์!I292"")"),1000)</f>
        <v>1000</v>
      </c>
      <c r="J397" s="207">
        <f ca="1">IFERROR(__xludf.DUMMYFUNCTION("IMPORTRANGE(""https://docs.google.com/spreadsheets/d/11923uPwbBZFjjGgGUA6NLw09EwE0CqkOc4q9oUmW1yo/edit?usp=sharing"",""อุตรดิตถ์!J292"")"),0)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IFERROR(__xludf.DUMMYFUNCTION("IMPORTRANGE(""https://docs.google.com/spreadsheets/d/11923uPwbBZFjjGgGUA6NLw09EwE0CqkOc4q9oUmW1yo/edit?usp=sharing"",""อุตรดิตถ์!I293"")"),100)</f>
        <v>100</v>
      </c>
      <c r="J398" s="207">
        <f ca="1">IFERROR(__xludf.DUMMYFUNCTION("IMPORTRANGE(""https://docs.google.com/spreadsheets/d/11923uPwbBZFjjGgGUA6NLw09EwE0CqkOc4q9oUmW1yo/edit?usp=sharing"",""อุตรดิตถ์!J293"")"),0)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IFERROR(__xludf.DUMMYFUNCTION("IMPORTRANGE(""https://docs.google.com/spreadsheets/d/11923uPwbBZFjjGgGUA6NLw09EwE0CqkOc4q9oUmW1yo/edit?usp=sharing"",""อุตรดิตถ์!J294"")"),0)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IFERROR(__xludf.DUMMYFUNCTION("IMPORTRANGE(""https://docs.google.com/spreadsheets/d/11923uPwbBZFjjGgGUA6NLw09EwE0CqkOc4q9oUmW1yo/edit?usp=sharing"",""อุตรดิตถ์!J295"")"),0)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IFERROR(__xludf.DUMMYFUNCTION("IMPORTRANGE(""https://docs.google.com/spreadsheets/d/11923uPwbBZFjjGgGUA6NLw09EwE0CqkOc4q9oUmW1yo/edit?usp=sharing"",""อุตรดิตถ์!I296"")"),135)</f>
        <v>135</v>
      </c>
      <c r="J401" s="379">
        <f ca="1">IFERROR(__xludf.DUMMYFUNCTION("IMPORTRANGE(""https://docs.google.com/spreadsheets/d/11923uPwbBZFjjGgGUA6NLw09EwE0CqkOc4q9oUmW1yo/edit?usp=sharing"",""อุตรดิตถ์!J296"")"),30)</f>
        <v>30</v>
      </c>
      <c r="K401" s="380">
        <f t="shared" ref="K401:K402" ca="1" si="111">IF(I401&gt;0,J401*100/I401,0)</f>
        <v>22.222222222222221</v>
      </c>
      <c r="L401" s="381">
        <f ca="1">IFERROR(__xludf.DUMMYFUNCTION("IMPORTRANGE(""https://docs.google.com/spreadsheets/d/11923uPwbBZFjjGgGUA6NLw09EwE0CqkOc4q9oUmW1yo/edit?usp=sharing"",""อุตรดิตถ์!L296"")"),159950)</f>
        <v>159950</v>
      </c>
      <c r="M401" s="381"/>
      <c r="N401" s="381">
        <f ca="1">IFERROR(__xludf.DUMMYFUNCTION("IMPORTRANGE(""https://docs.google.com/spreadsheets/d/11923uPwbBZFjjGgGUA6NLw09EwE0CqkOc4q9oUmW1yo/edit?usp=sharing"",""อุตรดิตถ์!M296"")"),35881)</f>
        <v>35881</v>
      </c>
      <c r="O401" s="381">
        <f ca="1">+IF(L401&gt;0,N401*100/L401,0)</f>
        <v>22.432635198499533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IFERROR(__xludf.DUMMYFUNCTION("IMPORTRANGE(""https://docs.google.com/spreadsheets/d/11923uPwbBZFjjGgGUA6NLw09EwE0CqkOc4q9oUmW1yo/edit?usp=sharing"",""อุตรดิตถ์!I297"")"),45)</f>
        <v>45</v>
      </c>
      <c r="J402" s="379">
        <f ca="1">IFERROR(__xludf.DUMMYFUNCTION("IMPORTRANGE(""https://docs.google.com/spreadsheets/d/11923uPwbBZFjjGgGUA6NLw09EwE0CqkOc4q9oUmW1yo/edit?usp=sharing"",""อุตรดิตถ์!J297"")"),10)</f>
        <v>10</v>
      </c>
      <c r="K402" s="380">
        <f t="shared" ca="1" si="111"/>
        <v>22.222222222222221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IFERROR(__xludf.DUMMYFUNCTION("IMPORTRANGE(""https://docs.google.com/spreadsheets/d/11923uPwbBZFjjGgGUA6NLw09EwE0CqkOc4q9oUmW1yo/edit?usp=sharing"",""อุตรดิตถ์!L298"")"),0)</f>
        <v>0</v>
      </c>
      <c r="M403" s="172"/>
      <c r="N403" s="178">
        <f ca="1">IFERROR(__xludf.DUMMYFUNCTION("IMPORTRANGE(""https://docs.google.com/spreadsheets/d/11923uPwbBZFjjGgGUA6NLw09EwE0CqkOc4q9oUmW1yo/edit?usp=sharing"",""อุตรดิตถ์!M298"")"),0)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IFERROR(__xludf.DUMMYFUNCTION("IMPORTRANGE(""https://docs.google.com/spreadsheets/d/11923uPwbBZFjjGgGUA6NLw09EwE0CqkOc4q9oUmW1yo/edit?usp=sharing"",""อุตรดิตถ์!L299"")"),159950)</f>
        <v>159950</v>
      </c>
      <c r="M404" s="173"/>
      <c r="N404" s="178">
        <f ca="1">IFERROR(__xludf.DUMMYFUNCTION("IMPORTRANGE(""https://docs.google.com/spreadsheets/d/11923uPwbBZFjjGgGUA6NLw09EwE0CqkOc4q9oUmW1yo/edit?usp=sharing"",""อุตรดิตถ์!M299"")"),35881)</f>
        <v>35881</v>
      </c>
      <c r="O404" s="178">
        <f t="shared" ca="1" si="112"/>
        <v>22.432635198499533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IFERROR(__xludf.DUMMYFUNCTION("IMPORTRANGE(""https://docs.google.com/spreadsheets/d/11923uPwbBZFjjGgGUA6NLw09EwE0CqkOc4q9oUmW1yo/edit?usp=sharing"",""อุตรดิตถ์!L300"")"),0)</f>
        <v>0</v>
      </c>
      <c r="M405" s="178"/>
      <c r="N405" s="178">
        <f ca="1">IFERROR(__xludf.DUMMYFUNCTION("IMPORTRANGE(""https://docs.google.com/spreadsheets/d/11923uPwbBZFjjGgGUA6NLw09EwE0CqkOc4q9oUmW1yo/edit?usp=sharing"",""อุตรดิตถ์!M300"")"),0)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IFERROR(__xludf.DUMMYFUNCTION("IMPORTRANGE(""https://docs.google.com/spreadsheets/d/11923uPwbBZFjjGgGUA6NLw09EwE0CqkOc4q9oUmW1yo/edit?usp=sharing"",""อุตรดิตถ์!L301"")"),159950)</f>
        <v>159950</v>
      </c>
      <c r="M406" s="178"/>
      <c r="N406" s="178">
        <f ca="1">IFERROR(__xludf.DUMMYFUNCTION("IMPORTRANGE(""https://docs.google.com/spreadsheets/d/11923uPwbBZFjjGgGUA6NLw09EwE0CqkOc4q9oUmW1yo/edit?usp=sharing"",""อุตรดิตถ์!M301"")"),35881)</f>
        <v>35881</v>
      </c>
      <c r="O406" s="178">
        <f t="shared" ca="1" si="112"/>
        <v>22.432635198499533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IFERROR(__xludf.DUMMYFUNCTION("IMPORTRANGE(""https://docs.google.com/spreadsheets/d/11923uPwbBZFjjGgGUA6NLw09EwE0CqkOc4q9oUmW1yo/edit?usp=sharing"",""อุตรดิตถ์!M302"")"),26406)</f>
        <v>26406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IFERROR(__xludf.DUMMYFUNCTION("IMPORTRANGE(""https://docs.google.com/spreadsheets/d/11923uPwbBZFjjGgGUA6NLw09EwE0CqkOc4q9oUmW1yo/edit?usp=sharing"",""อุตรดิตถ์!M303"")"),9475)</f>
        <v>9475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IFERROR(__xludf.DUMMYFUNCTION("IMPORTRANGE(""https://docs.google.com/spreadsheets/d/11923uPwbBZFjjGgGUA6NLw09EwE0CqkOc4q9oUmW1yo/edit?usp=sharing"",""อุตรดิตถ์!M304"")"),0)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IFERROR(__xludf.DUMMYFUNCTION("IMPORTRANGE(""https://docs.google.com/spreadsheets/d/11923uPwbBZFjjGgGUA6NLw09EwE0CqkOc4q9oUmW1yo/edit?usp=sharing"",""อุตรดิตถ์!M305"")"),0)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IFERROR(__xludf.DUMMYFUNCTION("IMPORTRANGE(""https://docs.google.com/spreadsheets/d/11923uPwbBZFjjGgGUA6NLw09EwE0CqkOc4q9oUmW1yo/edit?usp=sharing"",""อุตรดิตถ์!J307"")"),0)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IFERROR(__xludf.DUMMYFUNCTION("IMPORTRANGE(""https://docs.google.com/spreadsheets/d/11923uPwbBZFjjGgGUA6NLw09EwE0CqkOc4q9oUmW1yo/edit?usp=sharing"",""อุตรดิตถ์!J308"")"),1)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IFERROR(__xludf.DUMMYFUNCTION("IMPORTRANGE(""https://docs.google.com/spreadsheets/d/11923uPwbBZFjjGgGUA6NLw09EwE0CqkOc4q9oUmW1yo/edit?usp=sharing"",""อุตรดิตถ์!J309"")"),1)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IFERROR(__xludf.DUMMYFUNCTION("IMPORTRANGE(""https://docs.google.com/spreadsheets/d/11923uPwbBZFjjGgGUA6NLw09EwE0CqkOc4q9oUmW1yo/edit?usp=sharing"",""อุตรดิตถ์!J310"")"),1)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IFERROR(__xludf.DUMMYFUNCTION("IMPORTRANGE(""https://docs.google.com/spreadsheets/d/11923uPwbBZFjjGgGUA6NLw09EwE0CqkOc4q9oUmW1yo/edit?usp=sharing"",""อุตรดิตถ์!I311"")"),45)</f>
        <v>45</v>
      </c>
      <c r="J416" s="210">
        <f ca="1">IFERROR(__xludf.DUMMYFUNCTION("IMPORTRANGE(""https://docs.google.com/spreadsheets/d/11923uPwbBZFjjGgGUA6NLw09EwE0CqkOc4q9oUmW1yo/edit?usp=sharing"",""อุตรดิตถ์!J311"")"),10)</f>
        <v>10</v>
      </c>
      <c r="K416" s="211">
        <f t="shared" ref="K416:K432" ca="1" si="113">IF(I416&gt;0,J416*100/I416,0)</f>
        <v>22.222222222222221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IFERROR(__xludf.DUMMYFUNCTION("IMPORTRANGE(""https://docs.google.com/spreadsheets/d/11923uPwbBZFjjGgGUA6NLw09EwE0CqkOc4q9oUmW1yo/edit?usp=sharing"",""อุตรดิตถ์!I312"")"),10)</f>
        <v>10</v>
      </c>
      <c r="J417" s="400">
        <f ca="1">IFERROR(__xludf.DUMMYFUNCTION("IMPORTRANGE(""https://docs.google.com/spreadsheets/d/11923uPwbBZFjjGgGUA6NLw09EwE0CqkOc4q9oUmW1yo/edit?usp=sharing"",""อุตรดิตถ์!J312"")"),10)</f>
        <v>10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IFERROR(__xludf.DUMMYFUNCTION("IMPORTRANGE(""https://docs.google.com/spreadsheets/d/11923uPwbBZFjjGgGUA6NLw09EwE0CqkOc4q9oUmW1yo/edit?usp=sharing"",""อุตรดิตถ์!I313"")"),30)</f>
        <v>30</v>
      </c>
      <c r="J418" s="401">
        <f ca="1">IFERROR(__xludf.DUMMYFUNCTION("IMPORTRANGE(""https://docs.google.com/spreadsheets/d/11923uPwbBZFjjGgGUA6NLw09EwE0CqkOc4q9oUmW1yo/edit?usp=sharing"",""อุตรดิตถ์!J313"")"),30)</f>
        <v>30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IFERROR(__xludf.DUMMYFUNCTION("IMPORTRANGE(""https://docs.google.com/spreadsheets/d/11923uPwbBZFjjGgGUA6NLw09EwE0CqkOc4q9oUmW1yo/edit?usp=sharing"",""อุตรดิตถ์!I314"")"),10)</f>
        <v>10</v>
      </c>
      <c r="J419" s="402">
        <f ca="1">IFERROR(__xludf.DUMMYFUNCTION("IMPORTRANGE(""https://docs.google.com/spreadsheets/d/11923uPwbBZFjjGgGUA6NLw09EwE0CqkOc4q9oUmW1yo/edit?usp=sharing"",""อุตรดิตถ์!J314"")"),10)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IFERROR(__xludf.DUMMYFUNCTION("IMPORTRANGE(""https://docs.google.com/spreadsheets/d/11923uPwbBZFjjGgGUA6NLw09EwE0CqkOc4q9oUmW1yo/edit?usp=sharing"",""อุตรดิตถ์!I315"")"),10)</f>
        <v>10</v>
      </c>
      <c r="J420" s="402">
        <f ca="1">IFERROR(__xludf.DUMMYFUNCTION("IMPORTRANGE(""https://docs.google.com/spreadsheets/d/11923uPwbBZFjjGgGUA6NLw09EwE0CqkOc4q9oUmW1yo/edit?usp=sharing"",""อุตรดิตถ์!J315"")"),10)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IFERROR(__xludf.DUMMYFUNCTION("IMPORTRANGE(""https://docs.google.com/spreadsheets/d/11923uPwbBZFjjGgGUA6NLw09EwE0CqkOc4q9oUmW1yo/edit?usp=sharing"",""อุตรดิตถ์!I316"")"),25)</f>
        <v>25</v>
      </c>
      <c r="J421" s="400">
        <f ca="1">IFERROR(__xludf.DUMMYFUNCTION("IMPORTRANGE(""https://docs.google.com/spreadsheets/d/11923uPwbBZFjjGgGUA6NLw09EwE0CqkOc4q9oUmW1yo/edit?usp=sharing"",""อุตรดิตถ์!J316"")"),0)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IFERROR(__xludf.DUMMYFUNCTION("IMPORTRANGE(""https://docs.google.com/spreadsheets/d/11923uPwbBZFjjGgGUA6NLw09EwE0CqkOc4q9oUmW1yo/edit?usp=sharing"",""อุตรดิตถ์!I317"")"),75)</f>
        <v>75</v>
      </c>
      <c r="J422" s="401">
        <f ca="1">IFERROR(__xludf.DUMMYFUNCTION("IMPORTRANGE(""https://docs.google.com/spreadsheets/d/11923uPwbBZFjjGgGUA6NLw09EwE0CqkOc4q9oUmW1yo/edit?usp=sharing"",""อุตรดิตถ์!J317"")"),0)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IFERROR(__xludf.DUMMYFUNCTION("IMPORTRANGE(""https://docs.google.com/spreadsheets/d/11923uPwbBZFjjGgGUA6NLw09EwE0CqkOc4q9oUmW1yo/edit?usp=sharing"",""อุตรดิตถ์!I318"")"),25)</f>
        <v>25</v>
      </c>
      <c r="J423" s="402">
        <f ca="1">IFERROR(__xludf.DUMMYFUNCTION("IMPORTRANGE(""https://docs.google.com/spreadsheets/d/11923uPwbBZFjjGgGUA6NLw09EwE0CqkOc4q9oUmW1yo/edit?usp=sharing"",""อุตรดิตถ์!J318"")"),0)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IFERROR(__xludf.DUMMYFUNCTION("IMPORTRANGE(""https://docs.google.com/spreadsheets/d/11923uPwbBZFjjGgGUA6NLw09EwE0CqkOc4q9oUmW1yo/edit?usp=sharing"",""อุตรดิตถ์!I319"")"),25)</f>
        <v>25</v>
      </c>
      <c r="J424" s="402">
        <f ca="1">IFERROR(__xludf.DUMMYFUNCTION("IMPORTRANGE(""https://docs.google.com/spreadsheets/d/11923uPwbBZFjjGgGUA6NLw09EwE0CqkOc4q9oUmW1yo/edit?usp=sharing"",""อุตรดิตถ์!J319"")"),0)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IFERROR(__xludf.DUMMYFUNCTION("IMPORTRANGE(""https://docs.google.com/spreadsheets/d/11923uPwbBZFjjGgGUA6NLw09EwE0CqkOc4q9oUmW1yo/edit?usp=sharing"",""อุตรดิตถ์!I320"")"),25)</f>
        <v>25</v>
      </c>
      <c r="J425" s="402">
        <f ca="1">IFERROR(__xludf.DUMMYFUNCTION("IMPORTRANGE(""https://docs.google.com/spreadsheets/d/11923uPwbBZFjjGgGUA6NLw09EwE0CqkOc4q9oUmW1yo/edit?usp=sharing"",""อุตรดิตถ์!J320"")"),0)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IFERROR(__xludf.DUMMYFUNCTION("IMPORTRANGE(""https://docs.google.com/spreadsheets/d/11923uPwbBZFjjGgGUA6NLw09EwE0CqkOc4q9oUmW1yo/edit?usp=sharing"",""อุตรดิตถ์!I321"")"),10)</f>
        <v>10</v>
      </c>
      <c r="J426" s="400">
        <f ca="1">IFERROR(__xludf.DUMMYFUNCTION("IMPORTRANGE(""https://docs.google.com/spreadsheets/d/11923uPwbBZFjjGgGUA6NLw09EwE0CqkOc4q9oUmW1yo/edit?usp=sharing"",""อุตรดิตถ์!J321"")"),0)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IFERROR(__xludf.DUMMYFUNCTION("IMPORTRANGE(""https://docs.google.com/spreadsheets/d/11923uPwbBZFjjGgGUA6NLw09EwE0CqkOc4q9oUmW1yo/edit?usp=sharing"",""อุตรดิตถ์!I322"")"),30)</f>
        <v>30</v>
      </c>
      <c r="J427" s="401">
        <f ca="1">IFERROR(__xludf.DUMMYFUNCTION("IMPORTRANGE(""https://docs.google.com/spreadsheets/d/11923uPwbBZFjjGgGUA6NLw09EwE0CqkOc4q9oUmW1yo/edit?usp=sharing"",""อุตรดิตถ์!J322"")"),0)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IFERROR(__xludf.DUMMYFUNCTION("IMPORTRANGE(""https://docs.google.com/spreadsheets/d/11923uPwbBZFjjGgGUA6NLw09EwE0CqkOc4q9oUmW1yo/edit?usp=sharing"",""อุตรดิตถ์!I323"")"),10)</f>
        <v>10</v>
      </c>
      <c r="J428" s="402">
        <f ca="1">IFERROR(__xludf.DUMMYFUNCTION("IMPORTRANGE(""https://docs.google.com/spreadsheets/d/11923uPwbBZFjjGgGUA6NLw09EwE0CqkOc4q9oUmW1yo/edit?usp=sharing"",""อุตรดิตถ์!J323"")"),0)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IFERROR(__xludf.DUMMYFUNCTION("IMPORTRANGE(""https://docs.google.com/spreadsheets/d/11923uPwbBZFjjGgGUA6NLw09EwE0CqkOc4q9oUmW1yo/edit?usp=sharing"",""อุตรดิตถ์!I324"")"),10)</f>
        <v>10</v>
      </c>
      <c r="J429" s="402">
        <f ca="1">IFERROR(__xludf.DUMMYFUNCTION("IMPORTRANGE(""https://docs.google.com/spreadsheets/d/11923uPwbBZFjjGgGUA6NLw09EwE0CqkOc4q9oUmW1yo/edit?usp=sharing"",""อุตรดิตถ์!J324"")"),0)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IFERROR(__xludf.DUMMYFUNCTION("IMPORTRANGE(""https://docs.google.com/spreadsheets/d/11923uPwbBZFjjGgGUA6NLw09EwE0CqkOc4q9oUmW1yo/edit?usp=sharing"",""อุตรดิตถ์!I325"")"),35)</f>
        <v>35</v>
      </c>
      <c r="J430" s="400">
        <f ca="1">IFERROR(__xludf.DUMMYFUNCTION("IMPORTRANGE(""https://docs.google.com/spreadsheets/d/11923uPwbBZFjjGgGUA6NLw09EwE0CqkOc4q9oUmW1yo/edit?usp=sharing"",""อุตรดิตถ์!J325"")"),0)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IFERROR(__xludf.DUMMYFUNCTION("IMPORTRANGE(""https://docs.google.com/spreadsheets/d/11923uPwbBZFjjGgGUA6NLw09EwE0CqkOc4q9oUmW1yo/edit?usp=sharing"",""อุตรดิตถ์!I326"")"),10)</f>
        <v>10</v>
      </c>
      <c r="J431" s="402">
        <f ca="1">IFERROR(__xludf.DUMMYFUNCTION("IMPORTRANGE(""https://docs.google.com/spreadsheets/d/11923uPwbBZFjjGgGUA6NLw09EwE0CqkOc4q9oUmW1yo/edit?usp=sharing"",""อุตรดิตถ์!J326"")"),0)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IFERROR(__xludf.DUMMYFUNCTION("IMPORTRANGE(""https://docs.google.com/spreadsheets/d/11923uPwbBZFjjGgGUA6NLw09EwE0CqkOc4q9oUmW1yo/edit?usp=sharing"",""อุตรดิตถ์!I327"")"),25)</f>
        <v>25</v>
      </c>
      <c r="J432" s="402">
        <f ca="1">IFERROR(__xludf.DUMMYFUNCTION("IMPORTRANGE(""https://docs.google.com/spreadsheets/d/11923uPwbBZFjjGgGUA6NLw09EwE0CqkOc4q9oUmW1yo/edit?usp=sharing"",""อุตรดิตถ์!J327"")"),0)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IFERROR(__xludf.DUMMYFUNCTION("IMPORTRANGE(""https://docs.google.com/spreadsheets/d/11923uPwbBZFjjGgGUA6NLw09EwE0CqkOc4q9oUmW1yo/edit?usp=sharing"",""อุตรดิตถ์!J328"")"),0)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IFERROR(__xludf.DUMMYFUNCTION("IMPORTRANGE(""https://docs.google.com/spreadsheets/d/11923uPwbBZFjjGgGUA6NLw09EwE0CqkOc4q9oUmW1yo/edit?usp=sharing"",""อุตรดิตถ์!J329"")"),0)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IFERROR(__xludf.DUMMYFUNCTION("IMPORTRANGE(""https://docs.google.com/spreadsheets/d/11923uPwbBZFjjGgGUA6NLw09EwE0CqkOc4q9oUmW1yo/edit?usp=sharing"",""อุตรดิตถ์!I330"")"),20)</f>
        <v>20</v>
      </c>
      <c r="J435" s="418">
        <f ca="1">IFERROR(__xludf.DUMMYFUNCTION("IMPORTRANGE(""https://docs.google.com/spreadsheets/d/11923uPwbBZFjjGgGUA6NLw09EwE0CqkOc4q9oUmW1yo/edit?usp=sharing"",""อุตรดิตถ์!J330"")"),10)</f>
        <v>10</v>
      </c>
      <c r="K435" s="419">
        <f ca="1">IF(I435&gt;0,J435*100/I435,0)</f>
        <v>50</v>
      </c>
      <c r="L435" s="420">
        <f ca="1">IFERROR(__xludf.DUMMYFUNCTION("IMPORTRANGE(""https://docs.google.com/spreadsheets/d/11923uPwbBZFjjGgGUA6NLw09EwE0CqkOc4q9oUmW1yo/edit?usp=sharing"",""อุตรดิตถ์!L330"")"),95000)</f>
        <v>95000</v>
      </c>
      <c r="M435" s="420"/>
      <c r="N435" s="420">
        <f ca="1">IFERROR(__xludf.DUMMYFUNCTION("IMPORTRANGE(""https://docs.google.com/spreadsheets/d/11923uPwbBZFjjGgGUA6NLw09EwE0CqkOc4q9oUmW1yo/edit?usp=sharing"",""อุตรดิตถ์!M330"")"),20054.4)</f>
        <v>20054.400000000001</v>
      </c>
      <c r="O435" s="420">
        <f t="shared" ref="O435:O439" ca="1" si="114">+IF(L435&gt;0,N435*100/L435,0)</f>
        <v>21.109894736842108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IFERROR(__xludf.DUMMYFUNCTION("IMPORTRANGE(""https://docs.google.com/spreadsheets/d/11923uPwbBZFjjGgGUA6NLw09EwE0CqkOc4q9oUmW1yo/edit?usp=sharing"",""อุตรดิตถ์!L331"")"),0)</f>
        <v>0</v>
      </c>
      <c r="M436" s="172"/>
      <c r="N436" s="178">
        <f ca="1">IFERROR(__xludf.DUMMYFUNCTION("IMPORTRANGE(""https://docs.google.com/spreadsheets/d/11923uPwbBZFjjGgGUA6NLw09EwE0CqkOc4q9oUmW1yo/edit?usp=sharing"",""อุตรดิตถ์!M331"")"),0)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IFERROR(__xludf.DUMMYFUNCTION("IMPORTRANGE(""https://docs.google.com/spreadsheets/d/11923uPwbBZFjjGgGUA6NLw09EwE0CqkOc4q9oUmW1yo/edit?usp=sharing"",""อุตรดิตถ์!L332"")"),95000)</f>
        <v>95000</v>
      </c>
      <c r="M437" s="173"/>
      <c r="N437" s="178">
        <f ca="1">IFERROR(__xludf.DUMMYFUNCTION("IMPORTRANGE(""https://docs.google.com/spreadsheets/d/11923uPwbBZFjjGgGUA6NLw09EwE0CqkOc4q9oUmW1yo/edit?usp=sharing"",""อุตรดิตถ์!M332"")"),20054.4)</f>
        <v>20054.400000000001</v>
      </c>
      <c r="O437" s="178">
        <f t="shared" ca="1" si="114"/>
        <v>21.109894736842108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IFERROR(__xludf.DUMMYFUNCTION("IMPORTRANGE(""https://docs.google.com/spreadsheets/d/11923uPwbBZFjjGgGUA6NLw09EwE0CqkOc4q9oUmW1yo/edit?usp=sharing"",""อุตรดิตถ์!L333"")"),0)</f>
        <v>0</v>
      </c>
      <c r="M438" s="178"/>
      <c r="N438" s="178">
        <f ca="1">IFERROR(__xludf.DUMMYFUNCTION("IMPORTRANGE(""https://docs.google.com/spreadsheets/d/11923uPwbBZFjjGgGUA6NLw09EwE0CqkOc4q9oUmW1yo/edit?usp=sharing"",""อุตรดิตถ์!M333"")"),0)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IFERROR(__xludf.DUMMYFUNCTION("IMPORTRANGE(""https://docs.google.com/spreadsheets/d/11923uPwbBZFjjGgGUA6NLw09EwE0CqkOc4q9oUmW1yo/edit?usp=sharing"",""อุตรดิตถ์!L334"")"),95000)</f>
        <v>95000</v>
      </c>
      <c r="M439" s="178"/>
      <c r="N439" s="178">
        <f ca="1">IFERROR(__xludf.DUMMYFUNCTION("IMPORTRANGE(""https://docs.google.com/spreadsheets/d/11923uPwbBZFjjGgGUA6NLw09EwE0CqkOc4q9oUmW1yo/edit?usp=sharing"",""อุตรดิตถ์!M334"")"),20054.4)</f>
        <v>20054.400000000001</v>
      </c>
      <c r="O439" s="178">
        <f t="shared" ca="1" si="114"/>
        <v>21.109894736842108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IFERROR(__xludf.DUMMYFUNCTION("IMPORTRANGE(""https://docs.google.com/spreadsheets/d/11923uPwbBZFjjGgGUA6NLw09EwE0CqkOc4q9oUmW1yo/edit?usp=sharing"",""อุตรดิตถ์!M335"")"),14176)</f>
        <v>14176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IFERROR(__xludf.DUMMYFUNCTION("IMPORTRANGE(""https://docs.google.com/spreadsheets/d/11923uPwbBZFjjGgGUA6NLw09EwE0CqkOc4q9oUmW1yo/edit?usp=sharing"",""อุตรดิตถ์!M336"")"),0)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IFERROR(__xludf.DUMMYFUNCTION("IMPORTRANGE(""https://docs.google.com/spreadsheets/d/11923uPwbBZFjjGgGUA6NLw09EwE0CqkOc4q9oUmW1yo/edit?usp=sharing"",""อุตรดิตถ์!M337"")"),0)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IFERROR(__xludf.DUMMYFUNCTION("IMPORTRANGE(""https://docs.google.com/spreadsheets/d/11923uPwbBZFjjGgGUA6NLw09EwE0CqkOc4q9oUmW1yo/edit?usp=sharing"",""อุตรดิตถ์!M338"")"),5878.4)</f>
        <v>5878.4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IFERROR(__xludf.DUMMYFUNCTION("IMPORTRANGE(""https://docs.google.com/spreadsheets/d/11923uPwbBZFjjGgGUA6NLw09EwE0CqkOc4q9oUmW1yo/edit?usp=sharing"",""อุตรดิตถ์!J340"")"),0)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IFERROR(__xludf.DUMMYFUNCTION("IMPORTRANGE(""https://docs.google.com/spreadsheets/d/11923uPwbBZFjjGgGUA6NLw09EwE0CqkOc4q9oUmW1yo/edit?usp=sharing"",""อุตรดิตถ์!J341"")"),1)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IFERROR(__xludf.DUMMYFUNCTION("IMPORTRANGE(""https://docs.google.com/spreadsheets/d/11923uPwbBZFjjGgGUA6NLw09EwE0CqkOc4q9oUmW1yo/edit?usp=sharing"",""อุตรดิตถ์!J342"")"),1)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IFERROR(__xludf.DUMMYFUNCTION("IMPORTRANGE(""https://docs.google.com/spreadsheets/d/11923uPwbBZFjjGgGUA6NLw09EwE0CqkOc4q9oUmW1yo/edit?usp=sharing"",""อุตรดิตถ์!J343"")"),1)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IFERROR(__xludf.DUMMYFUNCTION("IMPORTRANGE(""https://docs.google.com/spreadsheets/d/11923uPwbBZFjjGgGUA6NLw09EwE0CqkOc4q9oUmW1yo/edit?usp=sharing"",""อุตรดิตถ์!I344"")"),20)</f>
        <v>20</v>
      </c>
      <c r="J449" s="210">
        <f ca="1">IFERROR(__xludf.DUMMYFUNCTION("IMPORTRANGE(""https://docs.google.com/spreadsheets/d/11923uPwbBZFjjGgGUA6NLw09EwE0CqkOc4q9oUmW1yo/edit?usp=sharing"",""อุตรดิตถ์!J344"")"),10)</f>
        <v>10</v>
      </c>
      <c r="K449" s="171">
        <f t="shared" ref="K449:K452" ca="1" si="115">IF(I449&gt;0,J449*100/I449,0)</f>
        <v>50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IFERROR(__xludf.DUMMYFUNCTION("IMPORTRANGE(""https://docs.google.com/spreadsheets/d/11923uPwbBZFjjGgGUA6NLw09EwE0CqkOc4q9oUmW1yo/edit?usp=sharing"",""อุตรดิตถ์!I345"")"),20)</f>
        <v>20</v>
      </c>
      <c r="J450" s="198">
        <f ca="1">IFERROR(__xludf.DUMMYFUNCTION("IMPORTRANGE(""https://docs.google.com/spreadsheets/d/11923uPwbBZFjjGgGUA6NLw09EwE0CqkOc4q9oUmW1yo/edit?usp=sharing"",""อุตรดิตถ์!J345"")"),10)</f>
        <v>10</v>
      </c>
      <c r="K450" s="171">
        <f t="shared" ca="1" si="115"/>
        <v>50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IFERROR(__xludf.DUMMYFUNCTION("IMPORTRANGE(""https://docs.google.com/spreadsheets/d/11923uPwbBZFjjGgGUA6NLw09EwE0CqkOc4q9oUmW1yo/edit?usp=sharing"",""อุตรดิตถ์!I346"")"),0)</f>
        <v>0</v>
      </c>
      <c r="J451" s="197">
        <f ca="1">IFERROR(__xludf.DUMMYFUNCTION("IMPORTRANGE(""https://docs.google.com/spreadsheets/d/11923uPwbBZFjjGgGUA6NLw09EwE0CqkOc4q9oUmW1yo/edit?usp=sharing"",""อุตรดิตถ์!J346"")"),0)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IFERROR(__xludf.DUMMYFUNCTION("IMPORTRANGE(""https://docs.google.com/spreadsheets/d/11923uPwbBZFjjGgGUA6NLw09EwE0CqkOc4q9oUmW1yo/edit?usp=sharing"",""อุตรดิตถ์!I347"")"),0)</f>
        <v>0</v>
      </c>
      <c r="J452" s="197">
        <f ca="1">IFERROR(__xludf.DUMMYFUNCTION("IMPORTRANGE(""https://docs.google.com/spreadsheets/d/11923uPwbBZFjjGgGUA6NLw09EwE0CqkOc4q9oUmW1yo/edit?usp=sharing"",""อุตรดิตถ์!J347"")"),0)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IFERROR(__xludf.DUMMYFUNCTION("IMPORTRANGE(""https://docs.google.com/spreadsheets/d/11923uPwbBZFjjGgGUA6NLw09EwE0CqkOc4q9oUmW1yo/edit?usp=sharing"",""อุตรดิตถ์!J348"")"),0)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IFERROR(__xludf.DUMMYFUNCTION("IMPORTRANGE(""https://docs.google.com/spreadsheets/d/11923uPwbBZFjjGgGUA6NLw09EwE0CqkOc4q9oUmW1yo/edit?usp=sharing"",""อุตรดิตถ์!J349"")"),0)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IFERROR(__xludf.DUMMYFUNCTION("IMPORTRANGE(""https://docs.google.com/spreadsheets/d/11923uPwbBZFjjGgGUA6NLw09EwE0CqkOc4q9oUmW1yo/edit?usp=sharing"",""อุตรดิตถ์!I350"")"),25853)</f>
        <v>25853</v>
      </c>
      <c r="J455" s="379">
        <f ca="1">IFERROR(__xludf.DUMMYFUNCTION("IMPORTRANGE(""https://docs.google.com/spreadsheets/d/11923uPwbBZFjjGgGUA6NLw09EwE0CqkOc4q9oUmW1yo/edit?usp=sharing"",""อุตรดิตถ์!J350"")"),0)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IFERROR(__xludf.DUMMYFUNCTION("IMPORTRANGE(""https://docs.google.com/spreadsheets/d/11923uPwbBZFjjGgGUA6NLw09EwE0CqkOc4q9oUmW1yo/edit?usp=sharing"",""อุตรดิตถ์!L350"")"),191927)</f>
        <v>191927</v>
      </c>
      <c r="M455" s="381"/>
      <c r="N455" s="381">
        <f ca="1">IFERROR(__xludf.DUMMYFUNCTION("IMPORTRANGE(""https://docs.google.com/spreadsheets/d/11923uPwbBZFjjGgGUA6NLw09EwE0CqkOc4q9oUmW1yo/edit?usp=sharing"",""อุตรดิตถ์!M350"")"),9888)</f>
        <v>9888</v>
      </c>
      <c r="O455" s="381">
        <f t="shared" ref="O455:O459" ca="1" si="116">+IF(L455&gt;0,N455*100/L455,0)</f>
        <v>5.15195881767547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IFERROR(__xludf.DUMMYFUNCTION("IMPORTRANGE(""https://docs.google.com/spreadsheets/d/11923uPwbBZFjjGgGUA6NLw09EwE0CqkOc4q9oUmW1yo/edit?usp=sharing"",""อุตรดิตถ์!L351"")"),0)</f>
        <v>0</v>
      </c>
      <c r="M456" s="172"/>
      <c r="N456" s="178">
        <f ca="1">IFERROR(__xludf.DUMMYFUNCTION("IMPORTRANGE(""https://docs.google.com/spreadsheets/d/11923uPwbBZFjjGgGUA6NLw09EwE0CqkOc4q9oUmW1yo/edit?usp=sharing"",""อุตรดิตถ์!M351"")"),0)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IFERROR(__xludf.DUMMYFUNCTION("IMPORTRANGE(""https://docs.google.com/spreadsheets/d/11923uPwbBZFjjGgGUA6NLw09EwE0CqkOc4q9oUmW1yo/edit?usp=sharing"",""อุตรดิตถ์!L352"")"),191927)</f>
        <v>191927</v>
      </c>
      <c r="M457" s="173"/>
      <c r="N457" s="178">
        <f ca="1">IFERROR(__xludf.DUMMYFUNCTION("IMPORTRANGE(""https://docs.google.com/spreadsheets/d/11923uPwbBZFjjGgGUA6NLw09EwE0CqkOc4q9oUmW1yo/edit?usp=sharing"",""อุตรดิตถ์!M352"")"),9888)</f>
        <v>9888</v>
      </c>
      <c r="O457" s="178">
        <f t="shared" ca="1" si="116"/>
        <v>5.15195881767547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IFERROR(__xludf.DUMMYFUNCTION("IMPORTRANGE(""https://docs.google.com/spreadsheets/d/11923uPwbBZFjjGgGUA6NLw09EwE0CqkOc4q9oUmW1yo/edit?usp=sharing"",""อุตรดิตถ์!L353"")"),0)</f>
        <v>0</v>
      </c>
      <c r="M458" s="178"/>
      <c r="N458" s="178">
        <f ca="1">IFERROR(__xludf.DUMMYFUNCTION("IMPORTRANGE(""https://docs.google.com/spreadsheets/d/11923uPwbBZFjjGgGUA6NLw09EwE0CqkOc4q9oUmW1yo/edit?usp=sharing"",""อุตรดิตถ์!M353"")"),0)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IFERROR(__xludf.DUMMYFUNCTION("IMPORTRANGE(""https://docs.google.com/spreadsheets/d/11923uPwbBZFjjGgGUA6NLw09EwE0CqkOc4q9oUmW1yo/edit?usp=sharing"",""อุตรดิตถ์!L354"")"),191927)</f>
        <v>191927</v>
      </c>
      <c r="M459" s="178"/>
      <c r="N459" s="178">
        <f ca="1">IFERROR(__xludf.DUMMYFUNCTION("IMPORTRANGE(""https://docs.google.com/spreadsheets/d/11923uPwbBZFjjGgGUA6NLw09EwE0CqkOc4q9oUmW1yo/edit?usp=sharing"",""อุตรดิตถ์!M354"")"),9888)</f>
        <v>9888</v>
      </c>
      <c r="O459" s="178">
        <f t="shared" ca="1" si="116"/>
        <v>5.15195881767547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IFERROR(__xludf.DUMMYFUNCTION("IMPORTRANGE(""https://docs.google.com/spreadsheets/d/11923uPwbBZFjjGgGUA6NLw09EwE0CqkOc4q9oUmW1yo/edit?usp=sharing"",""อุตรดิตถ์!M355"")"),0)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IFERROR(__xludf.DUMMYFUNCTION("IMPORTRANGE(""https://docs.google.com/spreadsheets/d/11923uPwbBZFjjGgGUA6NLw09EwE0CqkOc4q9oUmW1yo/edit?usp=sharing"",""อุตรดิตถ์!M356"")"),0)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IFERROR(__xludf.DUMMYFUNCTION("IMPORTRANGE(""https://docs.google.com/spreadsheets/d/11923uPwbBZFjjGgGUA6NLw09EwE0CqkOc4q9oUmW1yo/edit?usp=sharing"",""อุตรดิตถ์!M357"")"),0)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IFERROR(__xludf.DUMMYFUNCTION("IMPORTRANGE(""https://docs.google.com/spreadsheets/d/11923uPwbBZFjjGgGUA6NLw09EwE0CqkOc4q9oUmW1yo/edit?usp=sharing"",""อุตรดิตถ์!M358"")"),9888)</f>
        <v>9888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IFERROR(__xludf.DUMMYFUNCTION("IMPORTRANGE(""https://docs.google.com/spreadsheets/d/11923uPwbBZFjjGgGUA6NLw09EwE0CqkOc4q9oUmW1yo/edit?usp=sharing"",""อุตรดิตถ์!I359"")"),25853)</f>
        <v>25853</v>
      </c>
      <c r="J464" s="276">
        <f ca="1">IFERROR(__xludf.DUMMYFUNCTION("IMPORTRANGE(""https://docs.google.com/spreadsheets/d/11923uPwbBZFjjGgGUA6NLw09EwE0CqkOc4q9oUmW1yo/edit?usp=sharing"",""อุตรดิตถ์!J359"")"),0)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IFERROR(__xludf.DUMMYFUNCTION("IMPORTRANGE(""https://docs.google.com/spreadsheets/d/11923uPwbBZFjjGgGUA6NLw09EwE0CqkOc4q9oUmW1yo/edit?usp=sharing"",""อุตรดิตถ์!I360"")"),25853)</f>
        <v>25853</v>
      </c>
      <c r="J465" s="428">
        <f ca="1">IFERROR(__xludf.DUMMYFUNCTION("IMPORTRANGE(""https://docs.google.com/spreadsheets/d/11923uPwbBZFjjGgGUA6NLw09EwE0CqkOc4q9oUmW1yo/edit?usp=sharing"",""อุตรดิตถ์!J360"")"),0)</f>
        <v>0</v>
      </c>
      <c r="K465" s="211">
        <f t="shared" ca="1" si="117"/>
        <v>0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IFERROR(__xludf.DUMMYFUNCTION("IMPORTRANGE(""https://docs.google.com/spreadsheets/d/11923uPwbBZFjjGgGUA6NLw09EwE0CqkOc4q9oUmW1yo/edit?usp=sharing"",""อุตรดิตถ์!I361"")"),2764)</f>
        <v>2764</v>
      </c>
      <c r="J466" s="428">
        <f ca="1">IFERROR(__xludf.DUMMYFUNCTION("IMPORTRANGE(""https://docs.google.com/spreadsheets/d/11923uPwbBZFjjGgGUA6NLw09EwE0CqkOc4q9oUmW1yo/edit?usp=sharing"",""อุตรดิตถ์!J361"")"),0)</f>
        <v>0</v>
      </c>
      <c r="K466" s="211">
        <f t="shared" ca="1" si="117"/>
        <v>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IFERROR(__xludf.DUMMYFUNCTION("IMPORTRANGE(""https://docs.google.com/spreadsheets/d/11923uPwbBZFjjGgGUA6NLw09EwE0CqkOc4q9oUmW1yo/edit?usp=sharing"",""อุตรดิตถ์!I362"")"),0)</f>
        <v>0</v>
      </c>
      <c r="J467" s="198">
        <f ca="1">IFERROR(__xludf.DUMMYFUNCTION("IMPORTRANGE(""https://docs.google.com/spreadsheets/d/11923uPwbBZFjjGgGUA6NLw09EwE0CqkOc4q9oUmW1yo/edit?usp=sharing"",""อุตรดิตถ์!J362"")"),0)</f>
        <v>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IFERROR(__xludf.DUMMYFUNCTION("IMPORTRANGE(""https://docs.google.com/spreadsheets/d/11923uPwbBZFjjGgGUA6NLw09EwE0CqkOc4q9oUmW1yo/edit?usp=sharing"",""อุตรดิตถ์!I363"")"),0)</f>
        <v>0</v>
      </c>
      <c r="J468" s="198">
        <f ca="1">IFERROR(__xludf.DUMMYFUNCTION("IMPORTRANGE(""https://docs.google.com/spreadsheets/d/11923uPwbBZFjjGgGUA6NLw09EwE0CqkOc4q9oUmW1yo/edit?usp=sharing"",""อุตรดิตถ์!J363"")"),0)</f>
        <v>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IFERROR(__xludf.DUMMYFUNCTION("IMPORTRANGE(""https://docs.google.com/spreadsheets/d/11923uPwbBZFjjGgGUA6NLw09EwE0CqkOc4q9oUmW1yo/edit?usp=sharing"",""อุตรดิตถ์!I364"")"),0)</f>
        <v>0</v>
      </c>
      <c r="J469" s="198">
        <f ca="1">IFERROR(__xludf.DUMMYFUNCTION("IMPORTRANGE(""https://docs.google.com/spreadsheets/d/11923uPwbBZFjjGgGUA6NLw09EwE0CqkOc4q9oUmW1yo/edit?usp=sharing"",""อุตรดิตถ์!J364"")"),0)</f>
        <v>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IFERROR(__xludf.DUMMYFUNCTION("IMPORTRANGE(""https://docs.google.com/spreadsheets/d/11923uPwbBZFjjGgGUA6NLw09EwE0CqkOc4q9oUmW1yo/edit?usp=sharing"",""อุตรดิตถ์!I365"")"),0)</f>
        <v>0</v>
      </c>
      <c r="J470" s="198">
        <f ca="1">IFERROR(__xludf.DUMMYFUNCTION("IMPORTRANGE(""https://docs.google.com/spreadsheets/d/11923uPwbBZFjjGgGUA6NLw09EwE0CqkOc4q9oUmW1yo/edit?usp=sharing"",""อุตรดิตถ์!J365"")"),0)</f>
        <v>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IFERROR(__xludf.DUMMYFUNCTION("IMPORTRANGE(""https://docs.google.com/spreadsheets/d/11923uPwbBZFjjGgGUA6NLw09EwE0CqkOc4q9oUmW1yo/edit?usp=sharing"",""อุตรดิตถ์!I366"")"),0)</f>
        <v>0</v>
      </c>
      <c r="J471" s="198">
        <f ca="1">IFERROR(__xludf.DUMMYFUNCTION("IMPORTRANGE(""https://docs.google.com/spreadsheets/d/11923uPwbBZFjjGgGUA6NLw09EwE0CqkOc4q9oUmW1yo/edit?usp=sharing"",""อุตรดิตถ์!J366"")"),0)</f>
        <v>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IFERROR(__xludf.DUMMYFUNCTION("IMPORTRANGE(""https://docs.google.com/spreadsheets/d/11923uPwbBZFjjGgGUA6NLw09EwE0CqkOc4q9oUmW1yo/edit?usp=sharing"",""อุตรดิตถ์!I367"")"),0)</f>
        <v>0</v>
      </c>
      <c r="J472" s="198">
        <f ca="1">IFERROR(__xludf.DUMMYFUNCTION("IMPORTRANGE(""https://docs.google.com/spreadsheets/d/11923uPwbBZFjjGgGUA6NLw09EwE0CqkOc4q9oUmW1yo/edit?usp=sharing"",""อุตรดิตถ์!J367"")"),0)</f>
        <v>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IFERROR(__xludf.DUMMYFUNCTION("IMPORTRANGE(""https://docs.google.com/spreadsheets/d/11923uPwbBZFjjGgGUA6NLw09EwE0CqkOc4q9oUmW1yo/edit?usp=sharing"",""อุตรดิตถ์!I368"")"),25853)</f>
        <v>25853</v>
      </c>
      <c r="J473" s="428">
        <f ca="1">IFERROR(__xludf.DUMMYFUNCTION("IMPORTRANGE(""https://docs.google.com/spreadsheets/d/11923uPwbBZFjjGgGUA6NLw09EwE0CqkOc4q9oUmW1yo/edit?usp=sharing"",""อุตรดิตถ์!J368"")"),0)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IFERROR(__xludf.DUMMYFUNCTION("IMPORTRANGE(""https://docs.google.com/spreadsheets/d/11923uPwbBZFjjGgGUA6NLw09EwE0CqkOc4q9oUmW1yo/edit?usp=sharing"",""อุตรดิตถ์!I369"")"),2764)</f>
        <v>2764</v>
      </c>
      <c r="J474" s="428">
        <f ca="1">IFERROR(__xludf.DUMMYFUNCTION("IMPORTRANGE(""https://docs.google.com/spreadsheets/d/11923uPwbBZFjjGgGUA6NLw09EwE0CqkOc4q9oUmW1yo/edit?usp=sharing"",""อุตรดิตถ์!J369"")"),0)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IFERROR(__xludf.DUMMYFUNCTION("IMPORTRANGE(""https://docs.google.com/spreadsheets/d/11923uPwbBZFjjGgGUA6NLw09EwE0CqkOc4q9oUmW1yo/edit?usp=sharing"",""อุตรดิตถ์!I370"")"),0)</f>
        <v>0</v>
      </c>
      <c r="J475" s="198">
        <f ca="1">IFERROR(__xludf.DUMMYFUNCTION("IMPORTRANGE(""https://docs.google.com/spreadsheets/d/11923uPwbBZFjjGgGUA6NLw09EwE0CqkOc4q9oUmW1yo/edit?usp=sharing"",""อุตรดิตถ์!J370"")"),0)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IFERROR(__xludf.DUMMYFUNCTION("IMPORTRANGE(""https://docs.google.com/spreadsheets/d/11923uPwbBZFjjGgGUA6NLw09EwE0CqkOc4q9oUmW1yo/edit?usp=sharing"",""อุตรดิตถ์!I371"")"),0)</f>
        <v>0</v>
      </c>
      <c r="J476" s="198">
        <f ca="1">IFERROR(__xludf.DUMMYFUNCTION("IMPORTRANGE(""https://docs.google.com/spreadsheets/d/11923uPwbBZFjjGgGUA6NLw09EwE0CqkOc4q9oUmW1yo/edit?usp=sharing"",""อุตรดิตถ์!J371"")"),0)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IFERROR(__xludf.DUMMYFUNCTION("IMPORTRANGE(""https://docs.google.com/spreadsheets/d/11923uPwbBZFjjGgGUA6NLw09EwE0CqkOc4q9oUmW1yo/edit?usp=sharing"",""อุตรดิตถ์!I372"")"),0)</f>
        <v>0</v>
      </c>
      <c r="J477" s="198">
        <f ca="1">IFERROR(__xludf.DUMMYFUNCTION("IMPORTRANGE(""https://docs.google.com/spreadsheets/d/11923uPwbBZFjjGgGUA6NLw09EwE0CqkOc4q9oUmW1yo/edit?usp=sharing"",""อุตรดิตถ์!J372"")"),0)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IFERROR(__xludf.DUMMYFUNCTION("IMPORTRANGE(""https://docs.google.com/spreadsheets/d/11923uPwbBZFjjGgGUA6NLw09EwE0CqkOc4q9oUmW1yo/edit?usp=sharing"",""อุตรดิตถ์!I373"")"),0)</f>
        <v>0</v>
      </c>
      <c r="J478" s="198">
        <f ca="1">IFERROR(__xludf.DUMMYFUNCTION("IMPORTRANGE(""https://docs.google.com/spreadsheets/d/11923uPwbBZFjjGgGUA6NLw09EwE0CqkOc4q9oUmW1yo/edit?usp=sharing"",""อุตรดิตถ์!J373"")"),0)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IFERROR(__xludf.DUMMYFUNCTION("IMPORTRANGE(""https://docs.google.com/spreadsheets/d/11923uPwbBZFjjGgGUA6NLw09EwE0CqkOc4q9oUmW1yo/edit?usp=sharing"",""อุตรดิตถ์!I374"")"),0)</f>
        <v>0</v>
      </c>
      <c r="J479" s="198">
        <f ca="1">IFERROR(__xludf.DUMMYFUNCTION("IMPORTRANGE(""https://docs.google.com/spreadsheets/d/11923uPwbBZFjjGgGUA6NLw09EwE0CqkOc4q9oUmW1yo/edit?usp=sharing"",""อุตรดิตถ์!J374"")"),0)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IFERROR(__xludf.DUMMYFUNCTION("IMPORTRANGE(""https://docs.google.com/spreadsheets/d/11923uPwbBZFjjGgGUA6NLw09EwE0CqkOc4q9oUmW1yo/edit?usp=sharing"",""อุตรดิตถ์!I375"")"),0)</f>
        <v>0</v>
      </c>
      <c r="J480" s="198">
        <f ca="1">IFERROR(__xludf.DUMMYFUNCTION("IMPORTRANGE(""https://docs.google.com/spreadsheets/d/11923uPwbBZFjjGgGUA6NLw09EwE0CqkOc4q9oUmW1yo/edit?usp=sharing"",""อุตรดิตถ์!J375"")"),0)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IFERROR(__xludf.DUMMYFUNCTION("IMPORTRANGE(""https://docs.google.com/spreadsheets/d/11923uPwbBZFjjGgGUA6NLw09EwE0CqkOc4q9oUmW1yo/edit?usp=sharing"",""อุตรดิตถ์!I376"")"),25853)</f>
        <v>25853</v>
      </c>
      <c r="J481" s="428">
        <f ca="1">IFERROR(__xludf.DUMMYFUNCTION("IMPORTRANGE(""https://docs.google.com/spreadsheets/d/11923uPwbBZFjjGgGUA6NLw09EwE0CqkOc4q9oUmW1yo/edit?usp=sharing"",""อุตรดิตถ์!J376"")"),0)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IFERROR(__xludf.DUMMYFUNCTION("IMPORTRANGE(""https://docs.google.com/spreadsheets/d/11923uPwbBZFjjGgGUA6NLw09EwE0CqkOc4q9oUmW1yo/edit?usp=sharing"",""อุตรดิตถ์!I377"")"),2764)</f>
        <v>2764</v>
      </c>
      <c r="J482" s="428">
        <f ca="1">IFERROR(__xludf.DUMMYFUNCTION("IMPORTRANGE(""https://docs.google.com/spreadsheets/d/11923uPwbBZFjjGgGUA6NLw09EwE0CqkOc4q9oUmW1yo/edit?usp=sharing"",""อุตรดิตถ์!J377"")"),0)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IFERROR(__xludf.DUMMYFUNCTION("IMPORTRANGE(""https://docs.google.com/spreadsheets/d/11923uPwbBZFjjGgGUA6NLw09EwE0CqkOc4q9oUmW1yo/edit?usp=sharing"",""อุตรดิตถ์!I378"")"),0)</f>
        <v>0</v>
      </c>
      <c r="J483" s="198">
        <f ca="1">IFERROR(__xludf.DUMMYFUNCTION("IMPORTRANGE(""https://docs.google.com/spreadsheets/d/11923uPwbBZFjjGgGUA6NLw09EwE0CqkOc4q9oUmW1yo/edit?usp=sharing"",""อุตรดิตถ์!J378"")"),0)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IFERROR(__xludf.DUMMYFUNCTION("IMPORTRANGE(""https://docs.google.com/spreadsheets/d/11923uPwbBZFjjGgGUA6NLw09EwE0CqkOc4q9oUmW1yo/edit?usp=sharing"",""อุตรดิตถ์!I379"")"),0)</f>
        <v>0</v>
      </c>
      <c r="J484" s="198">
        <f ca="1">IFERROR(__xludf.DUMMYFUNCTION("IMPORTRANGE(""https://docs.google.com/spreadsheets/d/11923uPwbBZFjjGgGUA6NLw09EwE0CqkOc4q9oUmW1yo/edit?usp=sharing"",""อุตรดิตถ์!J379"")"),0)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IFERROR(__xludf.DUMMYFUNCTION("IMPORTRANGE(""https://docs.google.com/spreadsheets/d/11923uPwbBZFjjGgGUA6NLw09EwE0CqkOc4q9oUmW1yo/edit?usp=sharing"",""อุตรดิตถ์!I380"")"),0)</f>
        <v>0</v>
      </c>
      <c r="J485" s="198">
        <f ca="1">IFERROR(__xludf.DUMMYFUNCTION("IMPORTRANGE(""https://docs.google.com/spreadsheets/d/11923uPwbBZFjjGgGUA6NLw09EwE0CqkOc4q9oUmW1yo/edit?usp=sharing"",""อุตรดิตถ์!J380"")"),0)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IFERROR(__xludf.DUMMYFUNCTION("IMPORTRANGE(""https://docs.google.com/spreadsheets/d/11923uPwbBZFjjGgGUA6NLw09EwE0CqkOc4q9oUmW1yo/edit?usp=sharing"",""อุตรดิตถ์!I381"")"),0)</f>
        <v>0</v>
      </c>
      <c r="J486" s="198">
        <f ca="1">IFERROR(__xludf.DUMMYFUNCTION("IMPORTRANGE(""https://docs.google.com/spreadsheets/d/11923uPwbBZFjjGgGUA6NLw09EwE0CqkOc4q9oUmW1yo/edit?usp=sharing"",""อุตรดิตถ์!J381"")"),0)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IFERROR(__xludf.DUMMYFUNCTION("IMPORTRANGE(""https://docs.google.com/spreadsheets/d/11923uPwbBZFjjGgGUA6NLw09EwE0CqkOc4q9oUmW1yo/edit?usp=sharing"",""อุตรดิตถ์!I382"")"),0)</f>
        <v>0</v>
      </c>
      <c r="J487" s="428">
        <f ca="1">IFERROR(__xludf.DUMMYFUNCTION("IMPORTRANGE(""https://docs.google.com/spreadsheets/d/11923uPwbBZFjjGgGUA6NLw09EwE0CqkOc4q9oUmW1yo/edit?usp=sharing"",""อุตรดิตถ์!J382"")"),0)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IFERROR(__xludf.DUMMYFUNCTION("IMPORTRANGE(""https://docs.google.com/spreadsheets/d/11923uPwbBZFjjGgGUA6NLw09EwE0CqkOc4q9oUmW1yo/edit?usp=sharing"",""อุตรดิตถ์!I383"")"),0)</f>
        <v>0</v>
      </c>
      <c r="J488" s="428">
        <f ca="1">IFERROR(__xludf.DUMMYFUNCTION("IMPORTRANGE(""https://docs.google.com/spreadsheets/d/11923uPwbBZFjjGgGUA6NLw09EwE0CqkOc4q9oUmW1yo/edit?usp=sharing"",""อุตรดิตถ์!J383"")"),0)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IFERROR(__xludf.DUMMYFUNCTION("IMPORTRANGE(""https://docs.google.com/spreadsheets/d/11923uPwbBZFjjGgGUA6NLw09EwE0CqkOc4q9oUmW1yo/edit?usp=sharing"",""อุตรดิตถ์!I384"")"),0)</f>
        <v>0</v>
      </c>
      <c r="J489" s="198">
        <f ca="1">IFERROR(__xludf.DUMMYFUNCTION("IMPORTRANGE(""https://docs.google.com/spreadsheets/d/11923uPwbBZFjjGgGUA6NLw09EwE0CqkOc4q9oUmW1yo/edit?usp=sharing"",""อุตรดิตถ์!J384"")"),0)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IFERROR(__xludf.DUMMYFUNCTION("IMPORTRANGE(""https://docs.google.com/spreadsheets/d/11923uPwbBZFjjGgGUA6NLw09EwE0CqkOc4q9oUmW1yo/edit?usp=sharing"",""อุตรดิตถ์!I385"")"),0)</f>
        <v>0</v>
      </c>
      <c r="J490" s="198">
        <f ca="1">IFERROR(__xludf.DUMMYFUNCTION("IMPORTRANGE(""https://docs.google.com/spreadsheets/d/11923uPwbBZFjjGgGUA6NLw09EwE0CqkOc4q9oUmW1yo/edit?usp=sharing"",""อุตรดิตถ์!J385"")"),0)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IFERROR(__xludf.DUMMYFUNCTION("IMPORTRANGE(""https://docs.google.com/spreadsheets/d/11923uPwbBZFjjGgGUA6NLw09EwE0CqkOc4q9oUmW1yo/edit?usp=sharing"",""อุตรดิตถ์!I386"")"),0)</f>
        <v>0</v>
      </c>
      <c r="J491" s="198">
        <f ca="1">IFERROR(__xludf.DUMMYFUNCTION("IMPORTRANGE(""https://docs.google.com/spreadsheets/d/11923uPwbBZFjjGgGUA6NLw09EwE0CqkOc4q9oUmW1yo/edit?usp=sharing"",""อุตรดิตถ์!J386"")"),0)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IFERROR(__xludf.DUMMYFUNCTION("IMPORTRANGE(""https://docs.google.com/spreadsheets/d/11923uPwbBZFjjGgGUA6NLw09EwE0CqkOc4q9oUmW1yo/edit?usp=sharing"",""อุตรดิตถ์!I387"")"),0)</f>
        <v>0</v>
      </c>
      <c r="J492" s="198">
        <f ca="1">IFERROR(__xludf.DUMMYFUNCTION("IMPORTRANGE(""https://docs.google.com/spreadsheets/d/11923uPwbBZFjjGgGUA6NLw09EwE0CqkOc4q9oUmW1yo/edit?usp=sharing"",""อุตรดิตถ์!J387"")"),0)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IFERROR(__xludf.DUMMYFUNCTION("IMPORTRANGE(""https://docs.google.com/spreadsheets/d/11923uPwbBZFjjGgGUA6NLw09EwE0CqkOc4q9oUmW1yo/edit?usp=sharing"",""อุตรดิตถ์!I388"")"),0)</f>
        <v>0</v>
      </c>
      <c r="J493" s="198">
        <f ca="1">IFERROR(__xludf.DUMMYFUNCTION("IMPORTRANGE(""https://docs.google.com/spreadsheets/d/11923uPwbBZFjjGgGUA6NLw09EwE0CqkOc4q9oUmW1yo/edit?usp=sharing"",""อุตรดิตถ์!J388"")"),0)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IFERROR(__xludf.DUMMYFUNCTION("IMPORTRANGE(""https://docs.google.com/spreadsheets/d/11923uPwbBZFjjGgGUA6NLw09EwE0CqkOc4q9oUmW1yo/edit?usp=sharing"",""อุตรดิตถ์!I389"")"),0)</f>
        <v>0</v>
      </c>
      <c r="J494" s="444">
        <f ca="1">IFERROR(__xludf.DUMMYFUNCTION("IMPORTRANGE(""https://docs.google.com/spreadsheets/d/11923uPwbBZFjjGgGUA6NLw09EwE0CqkOc4q9oUmW1yo/edit?usp=sharing"",""อุตรดิตถ์!J389"")"),0)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IFERROR(__xludf.DUMMYFUNCTION("IMPORTRANGE(""https://docs.google.com/spreadsheets/d/11923uPwbBZFjjGgGUA6NLw09EwE0CqkOc4q9oUmW1yo/edit?usp=sharing"",""อุตรดิตถ์!I390"")"),0)</f>
        <v>0</v>
      </c>
      <c r="J495" s="444">
        <f ca="1">IFERROR(__xludf.DUMMYFUNCTION("IMPORTRANGE(""https://docs.google.com/spreadsheets/d/11923uPwbBZFjjGgGUA6NLw09EwE0CqkOc4q9oUmW1yo/edit?usp=sharing"",""อุตรดิตถ์!J390"")"),0)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IFERROR(__xludf.DUMMYFUNCTION("IMPORTRANGE(""https://docs.google.com/spreadsheets/d/11923uPwbBZFjjGgGUA6NLw09EwE0CqkOc4q9oUmW1yo/edit?usp=sharing"",""อุตรดิตถ์!I391"")"),0)</f>
        <v>0</v>
      </c>
      <c r="J496" s="444">
        <f ca="1">IFERROR(__xludf.DUMMYFUNCTION("IMPORTRANGE(""https://docs.google.com/spreadsheets/d/11923uPwbBZFjjGgGUA6NLw09EwE0CqkOc4q9oUmW1yo/edit?usp=sharing"",""อุตรดิตถ์!J391"")"),0)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IFERROR(__xludf.DUMMYFUNCTION("IMPORTRANGE(""https://docs.google.com/spreadsheets/d/11923uPwbBZFjjGgGUA6NLw09EwE0CqkOc4q9oUmW1yo/edit?usp=sharing"",""อุตรดิตถ์!I392"")"),46)</f>
        <v>46</v>
      </c>
      <c r="J497" s="451">
        <f ca="1">IFERROR(__xludf.DUMMYFUNCTION("IMPORTRANGE(""https://docs.google.com/spreadsheets/d/11923uPwbBZFjjGgGUA6NLw09EwE0CqkOc4q9oUmW1yo/edit?usp=sharing"",""อุตรดิตถ์!J392"")"),0)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IFERROR(__xludf.DUMMYFUNCTION("IMPORTRANGE(""https://docs.google.com/spreadsheets/d/11923uPwbBZFjjGgGUA6NLw09EwE0CqkOc4q9oUmW1yo/edit?usp=sharing"",""อุตรดิตถ์!I393"")"),46)</f>
        <v>46</v>
      </c>
      <c r="J498" s="428">
        <f ca="1">IFERROR(__xludf.DUMMYFUNCTION("IMPORTRANGE(""https://docs.google.com/spreadsheets/d/11923uPwbBZFjjGgGUA6NLw09EwE0CqkOc4q9oUmW1yo/edit?usp=sharing"",""อุตรดิตถ์!J393"")"),0)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IFERROR(__xludf.DUMMYFUNCTION("IMPORTRANGE(""https://docs.google.com/spreadsheets/d/11923uPwbBZFjjGgGUA6NLw09EwE0CqkOc4q9oUmW1yo/edit?usp=sharing"",""อุตรดิตถ์!I394"")"),8)</f>
        <v>8</v>
      </c>
      <c r="J499" s="428">
        <f ca="1">IFERROR(__xludf.DUMMYFUNCTION("IMPORTRANGE(""https://docs.google.com/spreadsheets/d/11923uPwbBZFjjGgGUA6NLw09EwE0CqkOc4q9oUmW1yo/edit?usp=sharing"",""อุตรดิตถ์!J394"")"),0)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IFERROR(__xludf.DUMMYFUNCTION("IMPORTRANGE(""https://docs.google.com/spreadsheets/d/11923uPwbBZFjjGgGUA6NLw09EwE0CqkOc4q9oUmW1yo/edit?usp=sharing"",""อุตรดิตถ์!I395"")"),0)</f>
        <v>0</v>
      </c>
      <c r="J500" s="170">
        <f ca="1">IFERROR(__xludf.DUMMYFUNCTION("IMPORTRANGE(""https://docs.google.com/spreadsheets/d/11923uPwbBZFjjGgGUA6NLw09EwE0CqkOc4q9oUmW1yo/edit?usp=sharing"",""อุตรดิตถ์!J395"")"),0)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IFERROR(__xludf.DUMMYFUNCTION("IMPORTRANGE(""https://docs.google.com/spreadsheets/d/11923uPwbBZFjjGgGUA6NLw09EwE0CqkOc4q9oUmW1yo/edit?usp=sharing"",""อุตรดิตถ์!I396"")"),0)</f>
        <v>0</v>
      </c>
      <c r="J501" s="170">
        <f ca="1">IFERROR(__xludf.DUMMYFUNCTION("IMPORTRANGE(""https://docs.google.com/spreadsheets/d/11923uPwbBZFjjGgGUA6NLw09EwE0CqkOc4q9oUmW1yo/edit?usp=sharing"",""อุตรดิตถ์!J396"")"),0)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IFERROR(__xludf.DUMMYFUNCTION("IMPORTRANGE(""https://docs.google.com/spreadsheets/d/11923uPwbBZFjjGgGUA6NLw09EwE0CqkOc4q9oUmW1yo/edit?usp=sharing"",""อุตรดิตถ์!I397"")"),0)</f>
        <v>0</v>
      </c>
      <c r="J502" s="198">
        <f ca="1">IFERROR(__xludf.DUMMYFUNCTION("IMPORTRANGE(""https://docs.google.com/spreadsheets/d/11923uPwbBZFjjGgGUA6NLw09EwE0CqkOc4q9oUmW1yo/edit?usp=sharing"",""อุตรดิตถ์!J397"")"),0)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IFERROR(__xludf.DUMMYFUNCTION("IMPORTRANGE(""https://docs.google.com/spreadsheets/d/11923uPwbBZFjjGgGUA6NLw09EwE0CqkOc4q9oUmW1yo/edit?usp=sharing"",""อุตรดิตถ์!I398"")"),0)</f>
        <v>0</v>
      </c>
      <c r="J503" s="207">
        <f ca="1">IFERROR(__xludf.DUMMYFUNCTION("IMPORTRANGE(""https://docs.google.com/spreadsheets/d/11923uPwbBZFjjGgGUA6NLw09EwE0CqkOc4q9oUmW1yo/edit?usp=sharing"",""อุตรดิตถ์!J398"")"),0)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IFERROR(__xludf.DUMMYFUNCTION("IMPORTRANGE(""https://docs.google.com/spreadsheets/d/11923uPwbBZFjjGgGUA6NLw09EwE0CqkOc4q9oUmW1yo/edit?usp=sharing"",""อุตรดิตถ์!I399"")"),0)</f>
        <v>0</v>
      </c>
      <c r="J504" s="198">
        <f ca="1">IFERROR(__xludf.DUMMYFUNCTION("IMPORTRANGE(""https://docs.google.com/spreadsheets/d/11923uPwbBZFjjGgGUA6NLw09EwE0CqkOc4q9oUmW1yo/edit?usp=sharing"",""อุตรดิตถ์!J399"")"),0)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IFERROR(__xludf.DUMMYFUNCTION("IMPORTRANGE(""https://docs.google.com/spreadsheets/d/11923uPwbBZFjjGgGUA6NLw09EwE0CqkOc4q9oUmW1yo/edit?usp=sharing"",""อุตรดิตถ์!I400"")"),0)</f>
        <v>0</v>
      </c>
      <c r="J505" s="207">
        <f ca="1">IFERROR(__xludf.DUMMYFUNCTION("IMPORTRANGE(""https://docs.google.com/spreadsheets/d/11923uPwbBZFjjGgGUA6NLw09EwE0CqkOc4q9oUmW1yo/edit?usp=sharing"",""อุตรดิตถ์!J400"")"),0)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IFERROR(__xludf.DUMMYFUNCTION("IMPORTRANGE(""https://docs.google.com/spreadsheets/d/11923uPwbBZFjjGgGUA6NLw09EwE0CqkOc4q9oUmW1yo/edit?usp=sharing"",""อุตรดิตถ์!I401"")"),0)</f>
        <v>0</v>
      </c>
      <c r="J506" s="198">
        <f ca="1">IFERROR(__xludf.DUMMYFUNCTION("IMPORTRANGE(""https://docs.google.com/spreadsheets/d/11923uPwbBZFjjGgGUA6NLw09EwE0CqkOc4q9oUmW1yo/edit?usp=sharing"",""อุตรดิตถ์!J401"")"),0)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IFERROR(__xludf.DUMMYFUNCTION("IMPORTRANGE(""https://docs.google.com/spreadsheets/d/11923uPwbBZFjjGgGUA6NLw09EwE0CqkOc4q9oUmW1yo/edit?usp=sharing"",""อุตรดิตถ์!I402"")"),0)</f>
        <v>0</v>
      </c>
      <c r="J507" s="207">
        <f ca="1">IFERROR(__xludf.DUMMYFUNCTION("IMPORTRANGE(""https://docs.google.com/spreadsheets/d/11923uPwbBZFjjGgGUA6NLw09EwE0CqkOc4q9oUmW1yo/edit?usp=sharing"",""อุตรดิตถ์!J402"")"),0)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IFERROR(__xludf.DUMMYFUNCTION("IMPORTRANGE(""https://docs.google.com/spreadsheets/d/11923uPwbBZFjjGgGUA6NLw09EwE0CqkOc4q9oUmW1yo/edit?usp=sharing"",""อุตรดิตถ์!I403"")"),0)</f>
        <v>0</v>
      </c>
      <c r="J508" s="170">
        <f ca="1">IFERROR(__xludf.DUMMYFUNCTION("IMPORTRANGE(""https://docs.google.com/spreadsheets/d/11923uPwbBZFjjGgGUA6NLw09EwE0CqkOc4q9oUmW1yo/edit?usp=sharing"",""อุตรดิตถ์!J403"")"),0)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IFERROR(__xludf.DUMMYFUNCTION("IMPORTRANGE(""https://docs.google.com/spreadsheets/d/11923uPwbBZFjjGgGUA6NLw09EwE0CqkOc4q9oUmW1yo/edit?usp=sharing"",""อุตรดิตถ์!I404"")"),0)</f>
        <v>0</v>
      </c>
      <c r="J509" s="170">
        <f ca="1">IFERROR(__xludf.DUMMYFUNCTION("IMPORTRANGE(""https://docs.google.com/spreadsheets/d/11923uPwbBZFjjGgGUA6NLw09EwE0CqkOc4q9oUmW1yo/edit?usp=sharing"",""อุตรดิตถ์!J404"")"),0)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IFERROR(__xludf.DUMMYFUNCTION("IMPORTRANGE(""https://docs.google.com/spreadsheets/d/11923uPwbBZFjjGgGUA6NLw09EwE0CqkOc4q9oUmW1yo/edit?usp=sharing"",""อุตรดิตถ์!I405"")"),0)</f>
        <v>0</v>
      </c>
      <c r="J510" s="207">
        <f ca="1">IFERROR(__xludf.DUMMYFUNCTION("IMPORTRANGE(""https://docs.google.com/spreadsheets/d/11923uPwbBZFjjGgGUA6NLw09EwE0CqkOc4q9oUmW1yo/edit?usp=sharing"",""อุตรดิตถ์!J405"")"),0)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IFERROR(__xludf.DUMMYFUNCTION("IMPORTRANGE(""https://docs.google.com/spreadsheets/d/11923uPwbBZFjjGgGUA6NLw09EwE0CqkOc4q9oUmW1yo/edit?usp=sharing"",""อุตรดิตถ์!I406"")"),0)</f>
        <v>0</v>
      </c>
      <c r="J511" s="207">
        <f ca="1">IFERROR(__xludf.DUMMYFUNCTION("IMPORTRANGE(""https://docs.google.com/spreadsheets/d/11923uPwbBZFjjGgGUA6NLw09EwE0CqkOc4q9oUmW1yo/edit?usp=sharing"",""อุตรดิตถ์!J406"")"),0)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IFERROR(__xludf.DUMMYFUNCTION("IMPORTRANGE(""https://docs.google.com/spreadsheets/d/11923uPwbBZFjjGgGUA6NLw09EwE0CqkOc4q9oUmW1yo/edit?usp=sharing"",""อุตรดิตถ์!I407"")"),0)</f>
        <v>0</v>
      </c>
      <c r="J512" s="207">
        <f ca="1">IFERROR(__xludf.DUMMYFUNCTION("IMPORTRANGE(""https://docs.google.com/spreadsheets/d/11923uPwbBZFjjGgGUA6NLw09EwE0CqkOc4q9oUmW1yo/edit?usp=sharing"",""อุตรดิตถ์!J407"")"),0)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IFERROR(__xludf.DUMMYFUNCTION("IMPORTRANGE(""https://docs.google.com/spreadsheets/d/11923uPwbBZFjjGgGUA6NLw09EwE0CqkOc4q9oUmW1yo/edit?usp=sharing"",""อุตรดิตถ์!I408"")"),0)</f>
        <v>0</v>
      </c>
      <c r="J513" s="207">
        <f ca="1">IFERROR(__xludf.DUMMYFUNCTION("IMPORTRANGE(""https://docs.google.com/spreadsheets/d/11923uPwbBZFjjGgGUA6NLw09EwE0CqkOc4q9oUmW1yo/edit?usp=sharing"",""อุตรดิตถ์!J408"")"),0)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IFERROR(__xludf.DUMMYFUNCTION("IMPORTRANGE(""https://docs.google.com/spreadsheets/d/11923uPwbBZFjjGgGUA6NLw09EwE0CqkOc4q9oUmW1yo/edit?usp=sharing"",""อุตรดิตถ์!I409"")"),0)</f>
        <v>0</v>
      </c>
      <c r="J514" s="207">
        <f ca="1">IFERROR(__xludf.DUMMYFUNCTION("IMPORTRANGE(""https://docs.google.com/spreadsheets/d/11923uPwbBZFjjGgGUA6NLw09EwE0CqkOc4q9oUmW1yo/edit?usp=sharing"",""อุตรดิตถ์!J409"")"),0)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IFERROR(__xludf.DUMMYFUNCTION("IMPORTRANGE(""https://docs.google.com/spreadsheets/d/11923uPwbBZFjjGgGUA6NLw09EwE0CqkOc4q9oUmW1yo/edit?usp=sharing"",""อุตรดิตถ์!I410"")"),0)</f>
        <v>0</v>
      </c>
      <c r="J515" s="207">
        <f ca="1">IFERROR(__xludf.DUMMYFUNCTION("IMPORTRANGE(""https://docs.google.com/spreadsheets/d/11923uPwbBZFjjGgGUA6NLw09EwE0CqkOc4q9oUmW1yo/edit?usp=sharing"",""อุตรดิตถ์!J410"")"),0)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IFERROR(__xludf.DUMMYFUNCTION("IMPORTRANGE(""https://docs.google.com/spreadsheets/d/11923uPwbBZFjjGgGUA6NLw09EwE0CqkOc4q9oUmW1yo/edit?usp=sharing"",""อุตรดิตถ์!I411"")"),0)</f>
        <v>0</v>
      </c>
      <c r="J516" s="276">
        <f ca="1">IFERROR(__xludf.DUMMYFUNCTION("IMPORTRANGE(""https://docs.google.com/spreadsheets/d/11923uPwbBZFjjGgGUA6NLw09EwE0CqkOc4q9oUmW1yo/edit?usp=sharing"",""อุตรดิตถ์!J411"")"),0)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IFERROR(__xludf.DUMMYFUNCTION("IMPORTRANGE(""https://docs.google.com/spreadsheets/d/11923uPwbBZFjjGgGUA6NLw09EwE0CqkOc4q9oUmW1yo/edit?usp=sharing"",""อุตรดิตถ์!I412"")"),0)</f>
        <v>0</v>
      </c>
      <c r="J517" s="292">
        <f ca="1">IFERROR(__xludf.DUMMYFUNCTION("IMPORTRANGE(""https://docs.google.com/spreadsheets/d/11923uPwbBZFjjGgGUA6NLw09EwE0CqkOc4q9oUmW1yo/edit?usp=sharing"",""อุตรดิตถ์!J412"")"),0)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IFERROR(__xludf.DUMMYFUNCTION("IMPORTRANGE(""https://docs.google.com/spreadsheets/d/11923uPwbBZFjjGgGUA6NLw09EwE0CqkOc4q9oUmW1yo/edit?usp=sharing"",""อุตรดิตถ์!I413"")"),0)</f>
        <v>0</v>
      </c>
      <c r="J518" s="292">
        <f ca="1">IFERROR(__xludf.DUMMYFUNCTION("IMPORTRANGE(""https://docs.google.com/spreadsheets/d/11923uPwbBZFjjGgGUA6NLw09EwE0CqkOc4q9oUmW1yo/edit?usp=sharing"",""อุตรดิตถ์!J413"")"),0)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IFERROR(__xludf.DUMMYFUNCTION("IMPORTRANGE(""https://docs.google.com/spreadsheets/d/11923uPwbBZFjjGgGUA6NLw09EwE0CqkOc4q9oUmW1yo/edit?usp=sharing"",""อุตรดิตถ์!I414"")"),0)</f>
        <v>0</v>
      </c>
      <c r="J519" s="197">
        <f ca="1">IFERROR(__xludf.DUMMYFUNCTION("IMPORTRANGE(""https://docs.google.com/spreadsheets/d/11923uPwbBZFjjGgGUA6NLw09EwE0CqkOc4q9oUmW1yo/edit?usp=sharing"",""อุตรดิตถ์!J414"")"),0)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IFERROR(__xludf.DUMMYFUNCTION("IMPORTRANGE(""https://docs.google.com/spreadsheets/d/11923uPwbBZFjjGgGUA6NLw09EwE0CqkOc4q9oUmW1yo/edit?usp=sharing"",""อุตรดิตถ์!I415"")"),0)</f>
        <v>0</v>
      </c>
      <c r="J520" s="197">
        <f ca="1">IFERROR(__xludf.DUMMYFUNCTION("IMPORTRANGE(""https://docs.google.com/spreadsheets/d/11923uPwbBZFjjGgGUA6NLw09EwE0CqkOc4q9oUmW1yo/edit?usp=sharing"",""อุตรดิตถ์!J415"")"),0)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IFERROR(__xludf.DUMMYFUNCTION("IMPORTRANGE(""https://docs.google.com/spreadsheets/d/11923uPwbBZFjjGgGUA6NLw09EwE0CqkOc4q9oUmW1yo/edit?usp=sharing"",""อุตรดิตถ์!I416"")"),0)</f>
        <v>0</v>
      </c>
      <c r="J521" s="197">
        <f ca="1">IFERROR(__xludf.DUMMYFUNCTION("IMPORTRANGE(""https://docs.google.com/spreadsheets/d/11923uPwbBZFjjGgGUA6NLw09EwE0CqkOc4q9oUmW1yo/edit?usp=sharing"",""อุตรดิตถ์!J416"")"),0)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IFERROR(__xludf.DUMMYFUNCTION("IMPORTRANGE(""https://docs.google.com/spreadsheets/d/11923uPwbBZFjjGgGUA6NLw09EwE0CqkOc4q9oUmW1yo/edit?usp=sharing"",""อุตรดิตถ์!I417"")"),0)</f>
        <v>0</v>
      </c>
      <c r="J522" s="197">
        <f ca="1">IFERROR(__xludf.DUMMYFUNCTION("IMPORTRANGE(""https://docs.google.com/spreadsheets/d/11923uPwbBZFjjGgGUA6NLw09EwE0CqkOc4q9oUmW1yo/edit?usp=sharing"",""อุตรดิตถ์!J417"")"),0)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IFERROR(__xludf.DUMMYFUNCTION("IMPORTRANGE(""https://docs.google.com/spreadsheets/d/11923uPwbBZFjjGgGUA6NLw09EwE0CqkOc4q9oUmW1yo/edit?usp=sharing"",""อุตรดิตถ์!I418"")"),0)</f>
        <v>0</v>
      </c>
      <c r="J523" s="197">
        <f ca="1">IFERROR(__xludf.DUMMYFUNCTION("IMPORTRANGE(""https://docs.google.com/spreadsheets/d/11923uPwbBZFjjGgGUA6NLw09EwE0CqkOc4q9oUmW1yo/edit?usp=sharing"",""อุตรดิตถ์!J418"")"),0)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IFERROR(__xludf.DUMMYFUNCTION("IMPORTRANGE(""https://docs.google.com/spreadsheets/d/11923uPwbBZFjjGgGUA6NLw09EwE0CqkOc4q9oUmW1yo/edit?usp=sharing"",""อุตรดิตถ์!I419"")"),0)</f>
        <v>0</v>
      </c>
      <c r="J524" s="197">
        <f ca="1">IFERROR(__xludf.DUMMYFUNCTION("IMPORTRANGE(""https://docs.google.com/spreadsheets/d/11923uPwbBZFjjGgGUA6NLw09EwE0CqkOc4q9oUmW1yo/edit?usp=sharing"",""อุตรดิตถ์!J419"")"),0)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IFERROR(__xludf.DUMMYFUNCTION("IMPORTRANGE(""https://docs.google.com/spreadsheets/d/11923uPwbBZFjjGgGUA6NLw09EwE0CqkOc4q9oUmW1yo/edit?usp=sharing"",""อุตรดิตถ์!I420"")"),0)</f>
        <v>0</v>
      </c>
      <c r="J525" s="292">
        <f ca="1">IFERROR(__xludf.DUMMYFUNCTION("IMPORTRANGE(""https://docs.google.com/spreadsheets/d/11923uPwbBZFjjGgGUA6NLw09EwE0CqkOc4q9oUmW1yo/edit?usp=sharing"",""อุตรดิตถ์!J420"")"),0)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IFERROR(__xludf.DUMMYFUNCTION("IMPORTRANGE(""https://docs.google.com/spreadsheets/d/11923uPwbBZFjjGgGUA6NLw09EwE0CqkOc4q9oUmW1yo/edit?usp=sharing"",""อุตรดิตถ์!I421"")"),0)</f>
        <v>0</v>
      </c>
      <c r="J526" s="292">
        <f ca="1">IFERROR(__xludf.DUMMYFUNCTION("IMPORTRANGE(""https://docs.google.com/spreadsheets/d/11923uPwbBZFjjGgGUA6NLw09EwE0CqkOc4q9oUmW1yo/edit?usp=sharing"",""อุตรดิตถ์!J421"")"),0)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IFERROR(__xludf.DUMMYFUNCTION("IMPORTRANGE(""https://docs.google.com/spreadsheets/d/11923uPwbBZFjjGgGUA6NLw09EwE0CqkOc4q9oUmW1yo/edit?usp=sharing"",""อุตรดิตถ์!I422"")"),0)</f>
        <v>0</v>
      </c>
      <c r="J527" s="207">
        <f ca="1">IFERROR(__xludf.DUMMYFUNCTION("IMPORTRANGE(""https://docs.google.com/spreadsheets/d/11923uPwbBZFjjGgGUA6NLw09EwE0CqkOc4q9oUmW1yo/edit?usp=sharing"",""อุตรดิตถ์!J422"")"),0)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IFERROR(__xludf.DUMMYFUNCTION("IMPORTRANGE(""https://docs.google.com/spreadsheets/d/11923uPwbBZFjjGgGUA6NLw09EwE0CqkOc4q9oUmW1yo/edit?usp=sharing"",""อุตรดิตถ์!I423"")"),0)</f>
        <v>0</v>
      </c>
      <c r="J528" s="207">
        <f ca="1">IFERROR(__xludf.DUMMYFUNCTION("IMPORTRANGE(""https://docs.google.com/spreadsheets/d/11923uPwbBZFjjGgGUA6NLw09EwE0CqkOc4q9oUmW1yo/edit?usp=sharing"",""อุตรดิตถ์!J423"")"),0)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IFERROR(__xludf.DUMMYFUNCTION("IMPORTRANGE(""https://docs.google.com/spreadsheets/d/11923uPwbBZFjjGgGUA6NLw09EwE0CqkOc4q9oUmW1yo/edit?usp=sharing"",""อุตรดิตถ์!I424"")"),0)</f>
        <v>0</v>
      </c>
      <c r="J529" s="207">
        <f ca="1">IFERROR(__xludf.DUMMYFUNCTION("IMPORTRANGE(""https://docs.google.com/spreadsheets/d/11923uPwbBZFjjGgGUA6NLw09EwE0CqkOc4q9oUmW1yo/edit?usp=sharing"",""อุตรดิตถ์!J424"")"),0)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IFERROR(__xludf.DUMMYFUNCTION("IMPORTRANGE(""https://docs.google.com/spreadsheets/d/11923uPwbBZFjjGgGUA6NLw09EwE0CqkOc4q9oUmW1yo/edit?usp=sharing"",""อุตรดิตถ์!I425"")"),0)</f>
        <v>0</v>
      </c>
      <c r="J530" s="207">
        <f ca="1">IFERROR(__xludf.DUMMYFUNCTION("IMPORTRANGE(""https://docs.google.com/spreadsheets/d/11923uPwbBZFjjGgGUA6NLw09EwE0CqkOc4q9oUmW1yo/edit?usp=sharing"",""อุตรดิตถ์!J425"")"),0)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IFERROR(__xludf.DUMMYFUNCTION("IMPORTRANGE(""https://docs.google.com/spreadsheets/d/11923uPwbBZFjjGgGUA6NLw09EwE0CqkOc4q9oUmW1yo/edit?usp=sharing"",""อุตรดิตถ์!I426"")"),0)</f>
        <v>0</v>
      </c>
      <c r="J531" s="207">
        <f ca="1">IFERROR(__xludf.DUMMYFUNCTION("IMPORTRANGE(""https://docs.google.com/spreadsheets/d/11923uPwbBZFjjGgGUA6NLw09EwE0CqkOc4q9oUmW1yo/edit?usp=sharing"",""อุตรดิตถ์!J426"")"),0)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IFERROR(__xludf.DUMMYFUNCTION("IMPORTRANGE(""https://docs.google.com/spreadsheets/d/11923uPwbBZFjjGgGUA6NLw09EwE0CqkOc4q9oUmW1yo/edit?usp=sharing"",""อุตรดิตถ์!I427"")"),0)</f>
        <v>0</v>
      </c>
      <c r="J532" s="474">
        <f ca="1">IFERROR(__xludf.DUMMYFUNCTION("IMPORTRANGE(""https://docs.google.com/spreadsheets/d/11923uPwbBZFjjGgGUA6NLw09EwE0CqkOc4q9oUmW1yo/edit?usp=sharing"",""อุตรดิตถ์!J427"")"),0)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IFERROR(__xludf.DUMMYFUNCTION("IMPORTRANGE(""https://docs.google.com/spreadsheets/d/11923uPwbBZFjjGgGUA6NLw09EwE0CqkOc4q9oUmW1yo/edit?usp=sharing"",""อุตรดิตถ์!I428"")"),22)</f>
        <v>22</v>
      </c>
      <c r="J533" s="418">
        <f ca="1">IFERROR(__xludf.DUMMYFUNCTION("IMPORTRANGE(""https://docs.google.com/spreadsheets/d/11923uPwbBZFjjGgGUA6NLw09EwE0CqkOc4q9oUmW1yo/edit?usp=sharing"",""อุตรดิตถ์!J428"")"),22)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IFERROR(__xludf.DUMMYFUNCTION("IMPORTRANGE(""https://docs.google.com/spreadsheets/d/11923uPwbBZFjjGgGUA6NLw09EwE0CqkOc4q9oUmW1yo/edit?usp=sharing"",""อุตรดิตถ์!L428"")"),34340)</f>
        <v>34340</v>
      </c>
      <c r="M533" s="420"/>
      <c r="N533" s="420">
        <f ca="1">IFERROR(__xludf.DUMMYFUNCTION("IMPORTRANGE(""https://docs.google.com/spreadsheets/d/11923uPwbBZFjjGgGUA6NLw09EwE0CqkOc4q9oUmW1yo/edit?usp=sharing"",""อุตรดิตถ์!M428"")"),23281)</f>
        <v>23281</v>
      </c>
      <c r="O533" s="420">
        <f t="shared" ref="O533:O537" ca="1" si="118">+IF(L533&gt;0,N533*100/L533,0)</f>
        <v>67.795573675014566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IFERROR(__xludf.DUMMYFUNCTION("IMPORTRANGE(""https://docs.google.com/spreadsheets/d/11923uPwbBZFjjGgGUA6NLw09EwE0CqkOc4q9oUmW1yo/edit?usp=sharing"",""อุตรดิตถ์!L429"")"),0)</f>
        <v>0</v>
      </c>
      <c r="M534" s="172"/>
      <c r="N534" s="178">
        <f ca="1">IFERROR(__xludf.DUMMYFUNCTION("IMPORTRANGE(""https://docs.google.com/spreadsheets/d/11923uPwbBZFjjGgGUA6NLw09EwE0CqkOc4q9oUmW1yo/edit?usp=sharing"",""อุตรดิตถ์!M429"")"),0)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IFERROR(__xludf.DUMMYFUNCTION("IMPORTRANGE(""https://docs.google.com/spreadsheets/d/11923uPwbBZFjjGgGUA6NLw09EwE0CqkOc4q9oUmW1yo/edit?usp=sharing"",""อุตรดิตถ์!L430"")"),34340)</f>
        <v>34340</v>
      </c>
      <c r="M535" s="173"/>
      <c r="N535" s="178">
        <f ca="1">IFERROR(__xludf.DUMMYFUNCTION("IMPORTRANGE(""https://docs.google.com/spreadsheets/d/11923uPwbBZFjjGgGUA6NLw09EwE0CqkOc4q9oUmW1yo/edit?usp=sharing"",""อุตรดิตถ์!M430"")"),23281)</f>
        <v>23281</v>
      </c>
      <c r="O535" s="178">
        <f t="shared" ca="1" si="118"/>
        <v>67.795573675014566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IFERROR(__xludf.DUMMYFUNCTION("IMPORTRANGE(""https://docs.google.com/spreadsheets/d/11923uPwbBZFjjGgGUA6NLw09EwE0CqkOc4q9oUmW1yo/edit?usp=sharing"",""อุตรดิตถ์!L431"")"),0)</f>
        <v>0</v>
      </c>
      <c r="M536" s="178"/>
      <c r="N536" s="178">
        <f ca="1">IFERROR(__xludf.DUMMYFUNCTION("IMPORTRANGE(""https://docs.google.com/spreadsheets/d/11923uPwbBZFjjGgGUA6NLw09EwE0CqkOc4q9oUmW1yo/edit?usp=sharing"",""อุตรดิตถ์!M431"")"),0)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IFERROR(__xludf.DUMMYFUNCTION("IMPORTRANGE(""https://docs.google.com/spreadsheets/d/11923uPwbBZFjjGgGUA6NLw09EwE0CqkOc4q9oUmW1yo/edit?usp=sharing"",""อุตรดิตถ์!L432"")"),34340)</f>
        <v>34340</v>
      </c>
      <c r="M537" s="178"/>
      <c r="N537" s="178">
        <f ca="1">IFERROR(__xludf.DUMMYFUNCTION("IMPORTRANGE(""https://docs.google.com/spreadsheets/d/11923uPwbBZFjjGgGUA6NLw09EwE0CqkOc4q9oUmW1yo/edit?usp=sharing"",""อุตรดิตถ์!M432"")"),23281)</f>
        <v>23281</v>
      </c>
      <c r="O537" s="178">
        <f t="shared" ca="1" si="118"/>
        <v>67.795573675014566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IFERROR(__xludf.DUMMYFUNCTION("IMPORTRANGE(""https://docs.google.com/spreadsheets/d/11923uPwbBZFjjGgGUA6NLw09EwE0CqkOc4q9oUmW1yo/edit?usp=sharing"",""อุตรดิตถ์!M433"")"),18740)</f>
        <v>18740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IFERROR(__xludf.DUMMYFUNCTION("IMPORTRANGE(""https://docs.google.com/spreadsheets/d/11923uPwbBZFjjGgGUA6NLw09EwE0CqkOc4q9oUmW1yo/edit?usp=sharing"",""อุตรดิตถ์!M434"")"),0)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IFERROR(__xludf.DUMMYFUNCTION("IMPORTRANGE(""https://docs.google.com/spreadsheets/d/11923uPwbBZFjjGgGUA6NLw09EwE0CqkOc4q9oUmW1yo/edit?usp=sharing"",""อุตรดิตถ์!M435"")"),0)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IFERROR(__xludf.DUMMYFUNCTION("IMPORTRANGE(""https://docs.google.com/spreadsheets/d/11923uPwbBZFjjGgGUA6NLw09EwE0CqkOc4q9oUmW1yo/edit?usp=sharing"",""อุตรดิตถ์!M436"")"),4541)</f>
        <v>4541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IFERROR(__xludf.DUMMYFUNCTION("IMPORTRANGE(""https://docs.google.com/spreadsheets/d/11923uPwbBZFjjGgGUA6NLw09EwE0CqkOc4q9oUmW1yo/edit?usp=sharing"",""อุตรดิตถ์!J438"")"),0)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IFERROR(__xludf.DUMMYFUNCTION("IMPORTRANGE(""https://docs.google.com/spreadsheets/d/11923uPwbBZFjjGgGUA6NLw09EwE0CqkOc4q9oUmW1yo/edit?usp=sharing"",""อุตรดิตถ์!J439"")"),1)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IFERROR(__xludf.DUMMYFUNCTION("IMPORTRANGE(""https://docs.google.com/spreadsheets/d/11923uPwbBZFjjGgGUA6NLw09EwE0CqkOc4q9oUmW1yo/edit?usp=sharing"",""อุตรดิตถ์!J440"")"),1)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IFERROR(__xludf.DUMMYFUNCTION("IMPORTRANGE(""https://docs.google.com/spreadsheets/d/11923uPwbBZFjjGgGUA6NLw09EwE0CqkOc4q9oUmW1yo/edit?usp=sharing"",""อุตรดิตถ์!J441"")"),1)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IFERROR(__xludf.DUMMYFUNCTION("IMPORTRANGE(""https://docs.google.com/spreadsheets/d/11923uPwbBZFjjGgGUA6NLw09EwE0CqkOc4q9oUmW1yo/edit?usp=sharing"",""อุตรดิตถ์!I442"")"),22)</f>
        <v>22</v>
      </c>
      <c r="J547" s="198">
        <f ca="1">IFERROR(__xludf.DUMMYFUNCTION("IMPORTRANGE(""https://docs.google.com/spreadsheets/d/11923uPwbBZFjjGgGUA6NLw09EwE0CqkOc4q9oUmW1yo/edit?usp=sharing"",""อุตรดิตถ์!J442"")"),22)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IFERROR(__xludf.DUMMYFUNCTION("IMPORTRANGE(""https://docs.google.com/spreadsheets/d/11923uPwbBZFjjGgGUA6NLw09EwE0CqkOc4q9oUmW1yo/edit?usp=sharing"",""อุตรดิตถ์!J166"")"),0)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IFERROR(__xludf.DUMMYFUNCTION("IMPORTRANGE(""https://docs.google.com/spreadsheets/d/11923uPwbBZFjjGgGUA6NLw09EwE0CqkOc4q9oUmW1yo/edit?usp=sharing"",""อุตรดิตถ์!J444"")"),0)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IFERROR(__xludf.DUMMYFUNCTION("IMPORTRANGE(""https://docs.google.com/spreadsheets/d/11923uPwbBZFjjGgGUA6NLw09EwE0CqkOc4q9oUmW1yo/edit?usp=sharing"",""อุตรดิตถ์!J445"")"),0)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IFERROR(__xludf.DUMMYFUNCTION("IMPORTRANGE(""https://docs.google.com/spreadsheets/d/11923uPwbBZFjjGgGUA6NLw09EwE0CqkOc4q9oUmW1yo/edit?usp=sharing"",""อุตรดิตถ์!I446"")"),5000)</f>
        <v>5000</v>
      </c>
      <c r="J551" s="418">
        <f ca="1">IFERROR(__xludf.DUMMYFUNCTION("IMPORTRANGE(""https://docs.google.com/spreadsheets/d/11923uPwbBZFjjGgGUA6NLw09EwE0CqkOc4q9oUmW1yo/edit?usp=sharing"",""อุตรดิตถ์!J446"")"),1221)</f>
        <v>1221</v>
      </c>
      <c r="K551" s="419">
        <f ca="1">IF(I551&gt;0,J551*100/I551,0)</f>
        <v>24.42</v>
      </c>
      <c r="L551" s="420">
        <f ca="1">IFERROR(__xludf.DUMMYFUNCTION("IMPORTRANGE(""https://docs.google.com/spreadsheets/d/11923uPwbBZFjjGgGUA6NLw09EwE0CqkOc4q9oUmW1yo/edit?usp=sharing"",""อุตรดิตถ์!L446"")"),300000)</f>
        <v>300000</v>
      </c>
      <c r="M551" s="420"/>
      <c r="N551" s="420">
        <f ca="1">IFERROR(__xludf.DUMMYFUNCTION("IMPORTRANGE(""https://docs.google.com/spreadsheets/d/11923uPwbBZFjjGgGUA6NLw09EwE0CqkOc4q9oUmW1yo/edit?usp=sharing"",""อุตรดิตถ์!M446"")"),82251)</f>
        <v>82251</v>
      </c>
      <c r="O551" s="420">
        <f t="shared" ref="O551:O555" ca="1" si="120">+IF(L551&gt;0,N551*100/L551,0)</f>
        <v>27.417000000000002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IFERROR(__xludf.DUMMYFUNCTION("IMPORTRANGE(""https://docs.google.com/spreadsheets/d/11923uPwbBZFjjGgGUA6NLw09EwE0CqkOc4q9oUmW1yo/edit?usp=sharing"",""อุตรดิตถ์!L447"")"),0)</f>
        <v>0</v>
      </c>
      <c r="M552" s="172"/>
      <c r="N552" s="178">
        <f ca="1">IFERROR(__xludf.DUMMYFUNCTION("IMPORTRANGE(""https://docs.google.com/spreadsheets/d/11923uPwbBZFjjGgGUA6NLw09EwE0CqkOc4q9oUmW1yo/edit?usp=sharing"",""อุตรดิตถ์!M447"")"),0)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IFERROR(__xludf.DUMMYFUNCTION("IMPORTRANGE(""https://docs.google.com/spreadsheets/d/11923uPwbBZFjjGgGUA6NLw09EwE0CqkOc4q9oUmW1yo/edit?usp=sharing"",""อุตรดิตถ์!L448"")"),300000)</f>
        <v>300000</v>
      </c>
      <c r="M553" s="173"/>
      <c r="N553" s="178">
        <f ca="1">IFERROR(__xludf.DUMMYFUNCTION("IMPORTRANGE(""https://docs.google.com/spreadsheets/d/11923uPwbBZFjjGgGUA6NLw09EwE0CqkOc4q9oUmW1yo/edit?usp=sharing"",""อุตรดิตถ์!M448"")"),82251)</f>
        <v>82251</v>
      </c>
      <c r="O553" s="178">
        <f t="shared" ca="1" si="120"/>
        <v>27.417000000000002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IFERROR(__xludf.DUMMYFUNCTION("IMPORTRANGE(""https://docs.google.com/spreadsheets/d/11923uPwbBZFjjGgGUA6NLw09EwE0CqkOc4q9oUmW1yo/edit?usp=sharing"",""อุตรดิตถ์!L449"")"),0)</f>
        <v>0</v>
      </c>
      <c r="M554" s="178"/>
      <c r="N554" s="178">
        <f ca="1">IFERROR(__xludf.DUMMYFUNCTION("IMPORTRANGE(""https://docs.google.com/spreadsheets/d/11923uPwbBZFjjGgGUA6NLw09EwE0CqkOc4q9oUmW1yo/edit?usp=sharing"",""อุตรดิตถ์!M449"")"),0)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IFERROR(__xludf.DUMMYFUNCTION("IMPORTRANGE(""https://docs.google.com/spreadsheets/d/11923uPwbBZFjjGgGUA6NLw09EwE0CqkOc4q9oUmW1yo/edit?usp=sharing"",""อุตรดิตถ์!L450"")"),300000)</f>
        <v>300000</v>
      </c>
      <c r="M555" s="178"/>
      <c r="N555" s="178">
        <f ca="1">IFERROR(__xludf.DUMMYFUNCTION("IMPORTRANGE(""https://docs.google.com/spreadsheets/d/11923uPwbBZFjjGgGUA6NLw09EwE0CqkOc4q9oUmW1yo/edit?usp=sharing"",""อุตรดิตถ์!M450"")"),82251)</f>
        <v>82251</v>
      </c>
      <c r="O555" s="178">
        <f t="shared" ca="1" si="120"/>
        <v>27.417000000000002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IFERROR(__xludf.DUMMYFUNCTION("IMPORTRANGE(""https://docs.google.com/spreadsheets/d/11923uPwbBZFjjGgGUA6NLw09EwE0CqkOc4q9oUmW1yo/edit?usp=sharing"",""อุตรดิตถ์!M451"")"),0)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IFERROR(__xludf.DUMMYFUNCTION("IMPORTRANGE(""https://docs.google.com/spreadsheets/d/11923uPwbBZFjjGgGUA6NLw09EwE0CqkOc4q9oUmW1yo/edit?usp=sharing"",""อุตรดิตถ์!M452"")"),0)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IFERROR(__xludf.DUMMYFUNCTION("IMPORTRANGE(""https://docs.google.com/spreadsheets/d/11923uPwbBZFjjGgGUA6NLw09EwE0CqkOc4q9oUmW1yo/edit?usp=sharing"",""อุตรดิตถ์!M453"")"),10800)</f>
        <v>10800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IFERROR(__xludf.DUMMYFUNCTION("IMPORTRANGE(""https://docs.google.com/spreadsheets/d/11923uPwbBZFjjGgGUA6NLw09EwE0CqkOc4q9oUmW1yo/edit?usp=sharing"",""อุตรดิตถ์!M454"")"),71451)</f>
        <v>71451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IFERROR(__xludf.DUMMYFUNCTION("IMPORTRANGE(""https://docs.google.com/spreadsheets/d/11923uPwbBZFjjGgGUA6NLw09EwE0CqkOc4q9oUmW1yo/edit?usp=sharing"",""อุตรดิตถ์!I455"")"),5000)</f>
        <v>5000</v>
      </c>
      <c r="J560" s="170">
        <f ca="1">IFERROR(__xludf.DUMMYFUNCTION("IMPORTRANGE(""https://docs.google.com/spreadsheets/d/11923uPwbBZFjjGgGUA6NLw09EwE0CqkOc4q9oUmW1yo/edit?usp=sharing"",""อุตรดิตถ์!J455"")"),1221)</f>
        <v>1221</v>
      </c>
      <c r="K560" s="233">
        <f t="shared" ref="K560:K564" ca="1" si="121">IF(I560&gt;0,J560*100/I560,0)</f>
        <v>24.42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IFERROR(__xludf.DUMMYFUNCTION("IMPORTRANGE(""https://docs.google.com/spreadsheets/d/11923uPwbBZFjjGgGUA6NLw09EwE0CqkOc4q9oUmW1yo/edit?usp=sharing"",""อุตรดิตถ์!I456"")"),0)</f>
        <v>0</v>
      </c>
      <c r="J561" s="213">
        <f ca="1">IFERROR(__xludf.DUMMYFUNCTION("IMPORTRANGE(""https://docs.google.com/spreadsheets/d/11923uPwbBZFjjGgGUA6NLw09EwE0CqkOc4q9oUmW1yo/edit?usp=sharing"",""อุตรดิตถ์!J456"")"),182)</f>
        <v>182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 t="str">
        <f ca="1">IFERROR(__xludf.DUMMYFUNCTION("IMPORTRANGE(""https://docs.google.com/spreadsheets/d/11923uPwbBZFjjGgGUA6NLw09EwE0CqkOc4q9oUmW1yo/edit?usp=sharing"",""อุตรดิตถ์!I457"")"),"")</f>
        <v/>
      </c>
      <c r="J562" s="213" t="str">
        <f ca="1">IFERROR(__xludf.DUMMYFUNCTION("IMPORTRANGE(""https://docs.google.com/spreadsheets/d/11923uPwbBZFjjGgGUA6NLw09EwE0CqkOc4q9oUmW1yo/edit?usp=sharing"",""อุตรดิตถ์!J457"")"),"")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 t="str">
        <f ca="1">IFERROR(__xludf.DUMMYFUNCTION("IMPORTRANGE(""https://docs.google.com/spreadsheets/d/11923uPwbBZFjjGgGUA6NLw09EwE0CqkOc4q9oUmW1yo/edit?usp=sharing"",""อุตรดิตถ์!I458"")"),"")</f>
        <v/>
      </c>
      <c r="J563" s="197" t="str">
        <f ca="1">IFERROR(__xludf.DUMMYFUNCTION("IMPORTRANGE(""https://docs.google.com/spreadsheets/d/11923uPwbBZFjjGgGUA6NLw09EwE0CqkOc4q9oUmW1yo/edit?usp=sharing"",""อุตรดิตถ์!J458"")"),"")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IFERROR(__xludf.DUMMYFUNCTION("IMPORTRANGE(""https://docs.google.com/spreadsheets/d/11923uPwbBZFjjGgGUA6NLw09EwE0CqkOc4q9oUmW1yo/edit?usp=sharing"",""อุตรดิตถ์!I459"")"),1100)</f>
        <v>1100</v>
      </c>
      <c r="J564" s="379">
        <f ca="1">IFERROR(__xludf.DUMMYFUNCTION("IMPORTRANGE(""https://docs.google.com/spreadsheets/d/11923uPwbBZFjjGgGUA6NLw09EwE0CqkOc4q9oUmW1yo/edit?usp=sharing"",""อุตรดิตถ์!J459"")"),1509)</f>
        <v>1509</v>
      </c>
      <c r="K564" s="380">
        <f t="shared" ca="1" si="121"/>
        <v>137.18181818181819</v>
      </c>
      <c r="L564" s="381">
        <f ca="1">IFERROR(__xludf.DUMMYFUNCTION("IMPORTRANGE(""https://docs.google.com/spreadsheets/d/11923uPwbBZFjjGgGUA6NLw09EwE0CqkOc4q9oUmW1yo/edit?usp=sharing"",""อุตรดิตถ์!L459"")"),127280)</f>
        <v>127280</v>
      </c>
      <c r="M564" s="381"/>
      <c r="N564" s="381">
        <f ca="1">IFERROR(__xludf.DUMMYFUNCTION("IMPORTRANGE(""https://docs.google.com/spreadsheets/d/11923uPwbBZFjjGgGUA6NLw09EwE0CqkOc4q9oUmW1yo/edit?usp=sharing"",""อุตรดิตถ์!M459"")"),33858)</f>
        <v>33858</v>
      </c>
      <c r="O564" s="381">
        <f t="shared" ref="O564:O568" ca="1" si="122">+IF(L564&gt;0,N564*100/L564,0)</f>
        <v>26.601194217473289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IFERROR(__xludf.DUMMYFUNCTION("IMPORTRANGE(""https://docs.google.com/spreadsheets/d/11923uPwbBZFjjGgGUA6NLw09EwE0CqkOc4q9oUmW1yo/edit?usp=sharing"",""อุตรดิตถ์!L460"")"),0)</f>
        <v>0</v>
      </c>
      <c r="M565" s="172"/>
      <c r="N565" s="178">
        <f ca="1">IFERROR(__xludf.DUMMYFUNCTION("IMPORTRANGE(""https://docs.google.com/spreadsheets/d/11923uPwbBZFjjGgGUA6NLw09EwE0CqkOc4q9oUmW1yo/edit?usp=sharing"",""อุตรดิตถ์!M460"")"),0)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IFERROR(__xludf.DUMMYFUNCTION("IMPORTRANGE(""https://docs.google.com/spreadsheets/d/11923uPwbBZFjjGgGUA6NLw09EwE0CqkOc4q9oUmW1yo/edit?usp=sharing"",""อุตรดิตถ์!L461"")"),127280)</f>
        <v>127280</v>
      </c>
      <c r="M566" s="173"/>
      <c r="N566" s="178">
        <f ca="1">IFERROR(__xludf.DUMMYFUNCTION("IMPORTRANGE(""https://docs.google.com/spreadsheets/d/11923uPwbBZFjjGgGUA6NLw09EwE0CqkOc4q9oUmW1yo/edit?usp=sharing"",""อุตรดิตถ์!M461"")"),33858)</f>
        <v>33858</v>
      </c>
      <c r="O566" s="178">
        <f t="shared" ca="1" si="122"/>
        <v>26.601194217473289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IFERROR(__xludf.DUMMYFUNCTION("IMPORTRANGE(""https://docs.google.com/spreadsheets/d/11923uPwbBZFjjGgGUA6NLw09EwE0CqkOc4q9oUmW1yo/edit?usp=sharing"",""อุตรดิตถ์!L462"")"),0)</f>
        <v>0</v>
      </c>
      <c r="M567" s="178"/>
      <c r="N567" s="178">
        <f ca="1">IFERROR(__xludf.DUMMYFUNCTION("IMPORTRANGE(""https://docs.google.com/spreadsheets/d/11923uPwbBZFjjGgGUA6NLw09EwE0CqkOc4q9oUmW1yo/edit?usp=sharing"",""อุตรดิตถ์!M462"")"),0)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IFERROR(__xludf.DUMMYFUNCTION("IMPORTRANGE(""https://docs.google.com/spreadsheets/d/11923uPwbBZFjjGgGUA6NLw09EwE0CqkOc4q9oUmW1yo/edit?usp=sharing"",""อุตรดิตถ์!L463"")"),127280)</f>
        <v>127280</v>
      </c>
      <c r="M568" s="178"/>
      <c r="N568" s="178">
        <f ca="1">IFERROR(__xludf.DUMMYFUNCTION("IMPORTRANGE(""https://docs.google.com/spreadsheets/d/11923uPwbBZFjjGgGUA6NLw09EwE0CqkOc4q9oUmW1yo/edit?usp=sharing"",""อุตรดิตถ์!M463"")"),33858)</f>
        <v>33858</v>
      </c>
      <c r="O568" s="178">
        <f t="shared" ca="1" si="122"/>
        <v>26.601194217473289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IFERROR(__xludf.DUMMYFUNCTION("IMPORTRANGE(""https://docs.google.com/spreadsheets/d/11923uPwbBZFjjGgGUA6NLw09EwE0CqkOc4q9oUmW1yo/edit?usp=sharing"",""อุตรดิตถ์!M464"")"),0)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IFERROR(__xludf.DUMMYFUNCTION("IMPORTRANGE(""https://docs.google.com/spreadsheets/d/11923uPwbBZFjjGgGUA6NLw09EwE0CqkOc4q9oUmW1yo/edit?usp=sharing"",""อุตรดิตถ์!M465"")"),0)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IFERROR(__xludf.DUMMYFUNCTION("IMPORTRANGE(""https://docs.google.com/spreadsheets/d/11923uPwbBZFjjGgGUA6NLw09EwE0CqkOc4q9oUmW1yo/edit?usp=sharing"",""อุตรดิตถ์!M466"")"),31568)</f>
        <v>31568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IFERROR(__xludf.DUMMYFUNCTION("IMPORTRANGE(""https://docs.google.com/spreadsheets/d/11923uPwbBZFjjGgGUA6NLw09EwE0CqkOc4q9oUmW1yo/edit?usp=sharing"",""อุตรดิตถ์!M467"")"),2290)</f>
        <v>2290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IFERROR(__xludf.DUMMYFUNCTION("IMPORTRANGE(""https://docs.google.com/spreadsheets/d/11923uPwbBZFjjGgGUA6NLw09EwE0CqkOc4q9oUmW1yo/edit?usp=sharing"",""อุตรดิตถ์!I468"")"),1100)</f>
        <v>1100</v>
      </c>
      <c r="J573" s="428">
        <f ca="1">IFERROR(__xludf.DUMMYFUNCTION("IMPORTRANGE(""https://docs.google.com/spreadsheets/d/11923uPwbBZFjjGgGUA6NLw09EwE0CqkOc4q9oUmW1yo/edit?usp=sharing"",""อุตรดิตถ์!J468"")"),1509)</f>
        <v>1509</v>
      </c>
      <c r="K573" s="211">
        <f ca="1">IF(I573&gt;0,J573*100/I573,0)</f>
        <v>137.18181818181819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IFERROR(__xludf.DUMMYFUNCTION("IMPORTRANGE(""https://docs.google.com/spreadsheets/d/11923uPwbBZFjjGgGUA6NLw09EwE0CqkOc4q9oUmW1yo/edit?usp=sharing"",""อุตรดิตถ์!I470"")"),0)</f>
        <v>0</v>
      </c>
      <c r="J575" s="207">
        <f ca="1">IFERROR(__xludf.DUMMYFUNCTION("IMPORTRANGE(""https://docs.google.com/spreadsheets/d/11923uPwbBZFjjGgGUA6NLw09EwE0CqkOc4q9oUmW1yo/edit?usp=sharing"",""อุตรดิตถ์!J470"")"),3)</f>
        <v>3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IFERROR(__xludf.DUMMYFUNCTION("IMPORTRANGE(""https://docs.google.com/spreadsheets/d/11923uPwbBZFjjGgGUA6NLw09EwE0CqkOc4q9oUmW1yo/edit?usp=sharing"",""อุตรดิตถ์!I471"")"),0)</f>
        <v>0</v>
      </c>
      <c r="J576" s="207">
        <f ca="1">IFERROR(__xludf.DUMMYFUNCTION("IMPORTRANGE(""https://docs.google.com/spreadsheets/d/11923uPwbBZFjjGgGUA6NLw09EwE0CqkOc4q9oUmW1yo/edit?usp=sharing"",""อุตรดิตถ์!J471"")"),170)</f>
        <v>170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IFERROR(__xludf.DUMMYFUNCTION("IMPORTRANGE(""https://docs.google.com/spreadsheets/d/11923uPwbBZFjjGgGUA6NLw09EwE0CqkOc4q9oUmW1yo/edit?usp=sharing"",""อุตรดิตถ์!I472"")"),0)</f>
        <v>0</v>
      </c>
      <c r="J577" s="198">
        <f ca="1">IFERROR(__xludf.DUMMYFUNCTION("IMPORTRANGE(""https://docs.google.com/spreadsheets/d/11923uPwbBZFjjGgGUA6NLw09EwE0CqkOc4q9oUmW1yo/edit?usp=sharing"",""อุตรดิตถ์!J472"")"),898)</f>
        <v>898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IFERROR(__xludf.DUMMYFUNCTION("IMPORTRANGE(""https://docs.google.com/spreadsheets/d/11923uPwbBZFjjGgGUA6NLw09EwE0CqkOc4q9oUmW1yo/edit?usp=sharing"",""อุตรดิตถ์!I473"")"),0)</f>
        <v>0</v>
      </c>
      <c r="J578" s="207">
        <f ca="1">IFERROR(__xludf.DUMMYFUNCTION("IMPORTRANGE(""https://docs.google.com/spreadsheets/d/11923uPwbBZFjjGgGUA6NLw09EwE0CqkOc4q9oUmW1yo/edit?usp=sharing"",""อุตรดิตถ์!J473"")"),0)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IFERROR(__xludf.DUMMYFUNCTION("IMPORTRANGE(""https://docs.google.com/spreadsheets/d/11923uPwbBZFjjGgGUA6NLw09EwE0CqkOc4q9oUmW1yo/edit?usp=sharing"",""อุตรดิตถ์!I474"")"),0)</f>
        <v>0</v>
      </c>
      <c r="J579" s="207">
        <f ca="1">IFERROR(__xludf.DUMMYFUNCTION("IMPORTRANGE(""https://docs.google.com/spreadsheets/d/11923uPwbBZFjjGgGUA6NLw09EwE0CqkOc4q9oUmW1yo/edit?usp=sharing"",""อุตรดิตถ์!J474"")"),441)</f>
        <v>441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IFERROR(__xludf.DUMMYFUNCTION("IMPORTRANGE(""https://docs.google.com/spreadsheets/d/11923uPwbBZFjjGgGUA6NLw09EwE0CqkOc4q9oUmW1yo/edit?usp=sharing"",""อุตรดิตถ์!I475"")"),0)</f>
        <v>0</v>
      </c>
      <c r="J580" s="379">
        <f ca="1">IFERROR(__xludf.DUMMYFUNCTION("IMPORTRANGE(""https://docs.google.com/spreadsheets/d/11923uPwbBZFjjGgGUA6NLw09EwE0CqkOc4q9oUmW1yo/edit?usp=sharing"",""อุตรดิตถ์!J475"")"),0)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IFERROR(__xludf.DUMMYFUNCTION("IMPORTRANGE(""https://docs.google.com/spreadsheets/d/11923uPwbBZFjjGgGUA6NLw09EwE0CqkOc4q9oUmW1yo/edit?usp=sharing"",""อุตรดิตถ์!L475"")"),0)</f>
        <v>0</v>
      </c>
      <c r="M580" s="381"/>
      <c r="N580" s="381">
        <f ca="1">IFERROR(__xludf.DUMMYFUNCTION("IMPORTRANGE(""https://docs.google.com/spreadsheets/d/11923uPwbBZFjjGgGUA6NLw09EwE0CqkOc4q9oUmW1yo/edit?usp=sharing"",""อุตรดิตถ์!M475"")"),0)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IFERROR(__xludf.DUMMYFUNCTION("IMPORTRANGE(""https://docs.google.com/spreadsheets/d/11923uPwbBZFjjGgGUA6NLw09EwE0CqkOc4q9oUmW1yo/edit?usp=sharing"",""อุตรดิตถ์!L476"")"),0)</f>
        <v>0</v>
      </c>
      <c r="M581" s="172"/>
      <c r="N581" s="178">
        <f ca="1">IFERROR(__xludf.DUMMYFUNCTION("IMPORTRANGE(""https://docs.google.com/spreadsheets/d/11923uPwbBZFjjGgGUA6NLw09EwE0CqkOc4q9oUmW1yo/edit?usp=sharing"",""อุตรดิตถ์!M476"")"),0)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IFERROR(__xludf.DUMMYFUNCTION("IMPORTRANGE(""https://docs.google.com/spreadsheets/d/11923uPwbBZFjjGgGUA6NLw09EwE0CqkOc4q9oUmW1yo/edit?usp=sharing"",""อุตรดิตถ์!L477"")"),0)</f>
        <v>0</v>
      </c>
      <c r="M582" s="173"/>
      <c r="N582" s="178">
        <f ca="1">IFERROR(__xludf.DUMMYFUNCTION("IMPORTRANGE(""https://docs.google.com/spreadsheets/d/11923uPwbBZFjjGgGUA6NLw09EwE0CqkOc4q9oUmW1yo/edit?usp=sharing"",""อุตรดิตถ์!M477"")"),0)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IFERROR(__xludf.DUMMYFUNCTION("IMPORTRANGE(""https://docs.google.com/spreadsheets/d/11923uPwbBZFjjGgGUA6NLw09EwE0CqkOc4q9oUmW1yo/edit?usp=sharing"",""อุตรดิตถ์!L478"")"),0)</f>
        <v>0</v>
      </c>
      <c r="M583" s="178"/>
      <c r="N583" s="178">
        <f ca="1">IFERROR(__xludf.DUMMYFUNCTION("IMPORTRANGE(""https://docs.google.com/spreadsheets/d/11923uPwbBZFjjGgGUA6NLw09EwE0CqkOc4q9oUmW1yo/edit?usp=sharing"",""อุตรดิตถ์!M478"")"),0)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IFERROR(__xludf.DUMMYFUNCTION("IMPORTRANGE(""https://docs.google.com/spreadsheets/d/11923uPwbBZFjjGgGUA6NLw09EwE0CqkOc4q9oUmW1yo/edit?usp=sharing"",""อุตรดิตถ์!L479"")"),0)</f>
        <v>0</v>
      </c>
      <c r="M584" s="178"/>
      <c r="N584" s="178">
        <f ca="1">IFERROR(__xludf.DUMMYFUNCTION("IMPORTRANGE(""https://docs.google.com/spreadsheets/d/11923uPwbBZFjjGgGUA6NLw09EwE0CqkOc4q9oUmW1yo/edit?usp=sharing"",""อุตรดิตถ์!M479"")"),0)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IFERROR(__xludf.DUMMYFUNCTION("IMPORTRANGE(""https://docs.google.com/spreadsheets/d/11923uPwbBZFjjGgGUA6NLw09EwE0CqkOc4q9oUmW1yo/edit?usp=sharing"",""อุตรดิตถ์!M480"")"),0)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IFERROR(__xludf.DUMMYFUNCTION("IMPORTRANGE(""https://docs.google.com/spreadsheets/d/11923uPwbBZFjjGgGUA6NLw09EwE0CqkOc4q9oUmW1yo/edit?usp=sharing"",""อุตรดิตถ์!M481"")"),0)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IFERROR(__xludf.DUMMYFUNCTION("IMPORTRANGE(""https://docs.google.com/spreadsheets/d/11923uPwbBZFjjGgGUA6NLw09EwE0CqkOc4q9oUmW1yo/edit?usp=sharing"",""อุตรดิตถ์!M482"")"),0)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IFERROR(__xludf.DUMMYFUNCTION("IMPORTRANGE(""https://docs.google.com/spreadsheets/d/11923uPwbBZFjjGgGUA6NLw09EwE0CqkOc4q9oUmW1yo/edit?usp=sharing"",""อุตรดิตถ์!M483"")"),0)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IFERROR(__xludf.DUMMYFUNCTION("IMPORTRANGE(""https://docs.google.com/spreadsheets/d/11923uPwbBZFjjGgGUA6NLw09EwE0CqkOc4q9oUmW1yo/edit?usp=sharing"",""อุตรดิตถ์!I484"")"),0)</f>
        <v>0</v>
      </c>
      <c r="J589" s="197">
        <f ca="1">IFERROR(__xludf.DUMMYFUNCTION("IMPORTRANGE(""https://docs.google.com/spreadsheets/d/11923uPwbBZFjjGgGUA6NLw09EwE0CqkOc4q9oUmW1yo/edit?usp=sharing"",""อุตรดิตถ์!J484"")"),2)</f>
        <v>2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IFERROR(__xludf.DUMMYFUNCTION("IMPORTRANGE(""https://docs.google.com/spreadsheets/d/11923uPwbBZFjjGgGUA6NLw09EwE0CqkOc4q9oUmW1yo/edit?usp=sharing"",""อุตรดิตถ์!I485"")"),0)</f>
        <v>0</v>
      </c>
      <c r="J590" s="19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IFERROR(__xludf.DUMMYFUNCTION("IMPORTRANGE(""https://docs.google.com/spreadsheets/d/11923uPwbBZFjjGgGUA6NLw09EwE0CqkOc4q9oUmW1yo/edit?usp=sharing"",""อุตรดิตถ์!I486"")"),0)</f>
        <v>0</v>
      </c>
      <c r="J591" s="197">
        <f ca="1">IFERROR(__xludf.DUMMYFUNCTION("IMPORTRANGE(""https://docs.google.com/spreadsheets/d/11923uPwbBZFjjGgGUA6NLw09EwE0CqkOc4q9oUmW1yo/edit?usp=sharing"",""อุตรดิตถ์!J486"")"),2)</f>
        <v>2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IFERROR(__xludf.DUMMYFUNCTION("IMPORTRANGE(""https://docs.google.com/spreadsheets/d/11923uPwbBZFjjGgGUA6NLw09EwE0CqkOc4q9oUmW1yo/edit?usp=sharing"",""อุตรดิตถ์!I487"")"),0)</f>
        <v>0</v>
      </c>
      <c r="J592" s="19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IFERROR(__xludf.DUMMYFUNCTION("IMPORTRANGE(""https://docs.google.com/spreadsheets/d/11923uPwbBZFjjGgGUA6NLw09EwE0CqkOc4q9oUmW1yo/edit?usp=sharing"",""อุตรดิตถ์!I488"")"),0)</f>
        <v>0</v>
      </c>
      <c r="J593" s="197">
        <f ca="1">IFERROR(__xludf.DUMMYFUNCTION("IMPORTRANGE(""https://docs.google.com/spreadsheets/d/11923uPwbBZFjjGgGUA6NLw09EwE0CqkOc4q9oUmW1yo/edit?usp=sharing"",""อุตรดิตถ์!J488"")"),0)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IFERROR(__xludf.DUMMYFUNCTION("IMPORTRANGE(""https://docs.google.com/spreadsheets/d/11923uPwbBZFjjGgGUA6NLw09EwE0CqkOc4q9oUmW1yo/edit?usp=sharing"",""อุตรดิตถ์!I489"")"),0)</f>
        <v>0</v>
      </c>
      <c r="J594" s="197">
        <f ca="1">IFERROR(__xludf.DUMMYFUNCTION("IMPORTRANGE(""https://docs.google.com/spreadsheets/d/11923uPwbBZFjjGgGUA6NLw09EwE0CqkOc4q9oUmW1yo/edit?usp=sharing"",""อุตรดิตถ์!J489"")"),0)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IFERROR(__xludf.DUMMYFUNCTION("IMPORTRANGE(""https://docs.google.com/spreadsheets/d/11923uPwbBZFjjGgGUA6NLw09EwE0CqkOc4q9oUmW1yo/edit?usp=sharing"",""อุตรดิตถ์!I490"")"),0)</f>
        <v>0</v>
      </c>
      <c r="J595" s="197">
        <f ca="1">IFERROR(__xludf.DUMMYFUNCTION("IMPORTRANGE(""https://docs.google.com/spreadsheets/d/11923uPwbBZFjjGgGUA6NLw09EwE0CqkOc4q9oUmW1yo/edit?usp=sharing"",""อุตรดิตถ์!J490"")"),0)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IFERROR(__xludf.DUMMYFUNCTION("IMPORTRANGE(""https://docs.google.com/spreadsheets/d/11923uPwbBZFjjGgGUA6NLw09EwE0CqkOc4q9oUmW1yo/edit?usp=sharing"",""อุตรดิตถ์!I491"")"),0)</f>
        <v>0</v>
      </c>
      <c r="J596" s="250">
        <f ca="1">IFERROR(__xludf.DUMMYFUNCTION("IMPORTRANGE(""https://docs.google.com/spreadsheets/d/11923uPwbBZFjjGgGUA6NLw09EwE0CqkOc4q9oUmW1yo/edit?usp=sharing"",""อุตรดิตถ์!J491"")"),0)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IFERROR(__xludf.DUMMYFUNCTION("IMPORTRANGE(""https://docs.google.com/spreadsheets/d/11923uPwbBZFjjGgGUA6NLw09EwE0CqkOc4q9oUmW1yo/edit?usp=sharing"",""อุตรดิตถ์!I492"")"),50)</f>
        <v>50</v>
      </c>
      <c r="J597" s="495">
        <f ca="1">IFERROR(__xludf.DUMMYFUNCTION("IMPORTRANGE(""https://docs.google.com/spreadsheets/d/11923uPwbBZFjjGgGUA6NLw09EwE0CqkOc4q9oUmW1yo/edit?usp=sharing"",""อุตรดิตถ์!J492"")"),0)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IFERROR(__xludf.DUMMYFUNCTION("IMPORTRANGE(""https://docs.google.com/spreadsheets/d/11923uPwbBZFjjGgGUA6NLw09EwE0CqkOc4q9oUmW1yo/edit?usp=sharing"",""อุตรดิตถ์!L492"")"),6150)</f>
        <v>6150</v>
      </c>
      <c r="M597" s="420"/>
      <c r="N597" s="420">
        <f ca="1">IFERROR(__xludf.DUMMYFUNCTION("IMPORTRANGE(""https://docs.google.com/spreadsheets/d/11923uPwbBZFjjGgGUA6NLw09EwE0CqkOc4q9oUmW1yo/edit?usp=sharing"",""อุตรดิตถ์!M492"")"),1600)</f>
        <v>1600</v>
      </c>
      <c r="O597" s="420">
        <f t="shared" ref="O597:O601" ca="1" si="126">+IF(L597&gt;0,N597*100/L597,0)</f>
        <v>26.016260162601625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IFERROR(__xludf.DUMMYFUNCTION("IMPORTRANGE(""https://docs.google.com/spreadsheets/d/11923uPwbBZFjjGgGUA6NLw09EwE0CqkOc4q9oUmW1yo/edit?usp=sharing"",""อุตรดิตถ์!L493"")"),0)</f>
        <v>0</v>
      </c>
      <c r="M598" s="172"/>
      <c r="N598" s="178">
        <f ca="1">IFERROR(__xludf.DUMMYFUNCTION("IMPORTRANGE(""https://docs.google.com/spreadsheets/d/11923uPwbBZFjjGgGUA6NLw09EwE0CqkOc4q9oUmW1yo/edit?usp=sharing"",""อุตรดิตถ์!M493"")"),0)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IFERROR(__xludf.DUMMYFUNCTION("IMPORTRANGE(""https://docs.google.com/spreadsheets/d/11923uPwbBZFjjGgGUA6NLw09EwE0CqkOc4q9oUmW1yo/edit?usp=sharing"",""อุตรดิตถ์!L494"")"),6150)</f>
        <v>6150</v>
      </c>
      <c r="M599" s="173"/>
      <c r="N599" s="178">
        <f ca="1">IFERROR(__xludf.DUMMYFUNCTION("IMPORTRANGE(""https://docs.google.com/spreadsheets/d/11923uPwbBZFjjGgGUA6NLw09EwE0CqkOc4q9oUmW1yo/edit?usp=sharing"",""อุตรดิตถ์!M494"")"),1600)</f>
        <v>1600</v>
      </c>
      <c r="O599" s="178">
        <f t="shared" ca="1" si="126"/>
        <v>26.016260162601625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IFERROR(__xludf.DUMMYFUNCTION("IMPORTRANGE(""https://docs.google.com/spreadsheets/d/11923uPwbBZFjjGgGUA6NLw09EwE0CqkOc4q9oUmW1yo/edit?usp=sharing"",""อุตรดิตถ์!L495"")"),0)</f>
        <v>0</v>
      </c>
      <c r="M600" s="178"/>
      <c r="N600" s="178">
        <f ca="1">IFERROR(__xludf.DUMMYFUNCTION("IMPORTRANGE(""https://docs.google.com/spreadsheets/d/11923uPwbBZFjjGgGUA6NLw09EwE0CqkOc4q9oUmW1yo/edit?usp=sharing"",""อุตรดิตถ์!M495"")"),0)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IFERROR(__xludf.DUMMYFUNCTION("IMPORTRANGE(""https://docs.google.com/spreadsheets/d/11923uPwbBZFjjGgGUA6NLw09EwE0CqkOc4q9oUmW1yo/edit?usp=sharing"",""อุตรดิตถ์!L496"")"),6150)</f>
        <v>6150</v>
      </c>
      <c r="M601" s="178"/>
      <c r="N601" s="178">
        <f ca="1">IFERROR(__xludf.DUMMYFUNCTION("IMPORTRANGE(""https://docs.google.com/spreadsheets/d/11923uPwbBZFjjGgGUA6NLw09EwE0CqkOc4q9oUmW1yo/edit?usp=sharing"",""อุตรดิตถ์!M496"")"),1600)</f>
        <v>1600</v>
      </c>
      <c r="O601" s="178">
        <f t="shared" ca="1" si="126"/>
        <v>26.016260162601625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IFERROR(__xludf.DUMMYFUNCTION("IMPORTRANGE(""https://docs.google.com/spreadsheets/d/11923uPwbBZFjjGgGUA6NLw09EwE0CqkOc4q9oUmW1yo/edit?usp=sharing"",""อุตรดิตถ์!M497"")"),0)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IFERROR(__xludf.DUMMYFUNCTION("IMPORTRANGE(""https://docs.google.com/spreadsheets/d/11923uPwbBZFjjGgGUA6NLw09EwE0CqkOc4q9oUmW1yo/edit?usp=sharing"",""อุตรดิตถ์!M498"")"),0)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IFERROR(__xludf.DUMMYFUNCTION("IMPORTRANGE(""https://docs.google.com/spreadsheets/d/11923uPwbBZFjjGgGUA6NLw09EwE0CqkOc4q9oUmW1yo/edit?usp=sharing"",""อุตรดิตถ์!M499"")"),0)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IFERROR(__xludf.DUMMYFUNCTION("IMPORTRANGE(""https://docs.google.com/spreadsheets/d/11923uPwbBZFjjGgGUA6NLw09EwE0CqkOc4q9oUmW1yo/edit?usp=sharing"",""อุตรดิตถ์!M500"")"),1600)</f>
        <v>1600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IFERROR(__xludf.DUMMYFUNCTION("IMPORTRANGE(""https://docs.google.com/spreadsheets/d/11923uPwbBZFjjGgGUA6NLw09EwE0CqkOc4q9oUmW1yo/edit?usp=sharing"",""อุตรดิตถ์!J502"")"),0)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IFERROR(__xludf.DUMMYFUNCTION("IMPORTRANGE(""https://docs.google.com/spreadsheets/d/11923uPwbBZFjjGgGUA6NLw09EwE0CqkOc4q9oUmW1yo/edit?usp=sharing"",""อุตรดิตถ์!J503"")"),1)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IFERROR(__xludf.DUMMYFUNCTION("IMPORTRANGE(""https://docs.google.com/spreadsheets/d/11923uPwbBZFjjGgGUA6NLw09EwE0CqkOc4q9oUmW1yo/edit?usp=sharing"",""อุตรดิตถ์!J166"")"),0)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IFERROR(__xludf.DUMMYFUNCTION("IMPORTRANGE(""https://docs.google.com/spreadsheets/d/11923uPwbBZFjjGgGUA6NLw09EwE0CqkOc4q9oUmW1yo/edit?usp=sharing"",""อุตรดิตถ์!J166"")"),0)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IFERROR(__xludf.DUMMYFUNCTION("IMPORTRANGE(""https://docs.google.com/spreadsheets/d/11923uPwbBZFjjGgGUA6NLw09EwE0CqkOc4q9oUmW1yo/edit?usp=sharing"",""อุตรดิตถ์!I506"")"),50)</f>
        <v>50</v>
      </c>
      <c r="J611" s="170">
        <f ca="1">IFERROR(__xludf.DUMMYFUNCTION("IMPORTRANGE(""https://docs.google.com/spreadsheets/d/11923uPwbBZFjjGgGUA6NLw09EwE0CqkOc4q9oUmW1yo/edit?usp=sharing"",""อุตรดิตถ์!J506"")"),0)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IFERROR(__xludf.DUMMYFUNCTION("IMPORTRANGE(""https://docs.google.com/spreadsheets/d/11923uPwbBZFjjGgGUA6NLw09EwE0CqkOc4q9oUmW1yo/edit?usp=sharing"",""อุตรดิตถ์!I507"")"),0)</f>
        <v>0</v>
      </c>
      <c r="J612" s="207">
        <f ca="1">IFERROR(__xludf.DUMMYFUNCTION("IMPORTRANGE(""https://docs.google.com/spreadsheets/d/11923uPwbBZFjjGgGUA6NLw09EwE0CqkOc4q9oUmW1yo/edit?usp=sharing"",""อุตรดิตถ์!J507"")"),0)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IFERROR(__xludf.DUMMYFUNCTION("IMPORTRANGE(""https://docs.google.com/spreadsheets/d/11923uPwbBZFjjGgGUA6NLw09EwE0CqkOc4q9oUmW1yo/edit?usp=sharing"",""อุตรดิตถ์!I508"")"),0)</f>
        <v>0</v>
      </c>
      <c r="J613" s="207">
        <f ca="1">IFERROR(__xludf.DUMMYFUNCTION("IMPORTRANGE(""https://docs.google.com/spreadsheets/d/11923uPwbBZFjjGgGUA6NLw09EwE0CqkOc4q9oUmW1yo/edit?usp=sharing"",""อุตรดิตถ์!J508"")"),0)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IFERROR(__xludf.DUMMYFUNCTION("IMPORTRANGE(""https://docs.google.com/spreadsheets/d/11923uPwbBZFjjGgGUA6NLw09EwE0CqkOc4q9oUmW1yo/edit?usp=sharing"",""อุตรดิตถ์!I509"")"),0)</f>
        <v>0</v>
      </c>
      <c r="J614" s="207">
        <f ca="1">IFERROR(__xludf.DUMMYFUNCTION("IMPORTRANGE(""https://docs.google.com/spreadsheets/d/11923uPwbBZFjjGgGUA6NLw09EwE0CqkOc4q9oUmW1yo/edit?usp=sharing"",""อุตรดิตถ์!J509"")"),0)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IFERROR(__xludf.DUMMYFUNCTION("IMPORTRANGE(""https://docs.google.com/spreadsheets/d/11923uPwbBZFjjGgGUA6NLw09EwE0CqkOc4q9oUmW1yo/edit?usp=sharing"",""อุตรดิตถ์!I510"")"),0)</f>
        <v>0</v>
      </c>
      <c r="J615" s="207">
        <f ca="1">IFERROR(__xludf.DUMMYFUNCTION("IMPORTRANGE(""https://docs.google.com/spreadsheets/d/11923uPwbBZFjjGgGUA6NLw09EwE0CqkOc4q9oUmW1yo/edit?usp=sharing"",""อุตรดิตถ์!J510"")"),0)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IFERROR(__xludf.DUMMYFUNCTION("IMPORTRANGE(""https://docs.google.com/spreadsheets/d/11923uPwbBZFjjGgGUA6NLw09EwE0CqkOc4q9oUmW1yo/edit?usp=sharing"",""อุตรดิตถ์!I511"")"),0)</f>
        <v>0</v>
      </c>
      <c r="J616" s="207">
        <f ca="1">IFERROR(__xludf.DUMMYFUNCTION("IMPORTRANGE(""https://docs.google.com/spreadsheets/d/11923uPwbBZFjjGgGUA6NLw09EwE0CqkOc4q9oUmW1yo/edit?usp=sharing"",""อุตรดิตถ์!J511"")"),0)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IFERROR(__xludf.DUMMYFUNCTION("IMPORTRANGE(""https://docs.google.com/spreadsheets/d/11923uPwbBZFjjGgGUA6NLw09EwE0CqkOc4q9oUmW1yo/edit?usp=sharing"",""อุตรดิตถ์!I512"")"),0)</f>
        <v>0</v>
      </c>
      <c r="J617" s="197">
        <f ca="1">IFERROR(__xludf.DUMMYFUNCTION("IMPORTRANGE(""https://docs.google.com/spreadsheets/d/11923uPwbBZFjjGgGUA6NLw09EwE0CqkOc4q9oUmW1yo/edit?usp=sharing"",""อุตรดิตถ์!J512"")"),0)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IFERROR(__xludf.DUMMYFUNCTION("IMPORTRANGE(""https://docs.google.com/spreadsheets/d/11923uPwbBZFjjGgGUA6NLw09EwE0CqkOc4q9oUmW1yo/edit?usp=sharing"",""อุตรดิตถ์!I513"")"),0)</f>
        <v>0</v>
      </c>
      <c r="J618" s="198">
        <f ca="1">IFERROR(__xludf.DUMMYFUNCTION("IMPORTRANGE(""https://docs.google.com/spreadsheets/d/11923uPwbBZFjjGgGUA6NLw09EwE0CqkOc4q9oUmW1yo/edit?usp=sharing"",""อุตรดิตถ์!J513"")"),0)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IFERROR(__xludf.DUMMYFUNCTION("IMPORTRANGE(""https://docs.google.com/spreadsheets/d/11923uPwbBZFjjGgGUA6NLw09EwE0CqkOc4q9oUmW1yo/edit?usp=sharing"",""อุตรดิตถ์!I514"")"),0)</f>
        <v>0</v>
      </c>
      <c r="J619" s="198">
        <f ca="1">IFERROR(__xludf.DUMMYFUNCTION("IMPORTRANGE(""https://docs.google.com/spreadsheets/d/11923uPwbBZFjjGgGUA6NLw09EwE0CqkOc4q9oUmW1yo/edit?usp=sharing"",""อุตรดิตถ์!J514"")"),0)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IFERROR(__xludf.DUMMYFUNCTION("IMPORTRANGE(""https://docs.google.com/spreadsheets/d/11923uPwbBZFjjGgGUA6NLw09EwE0CqkOc4q9oUmW1yo/edit?usp=sharing"",""อุตรดิตถ์!I515"")"),1577)</f>
        <v>1577</v>
      </c>
      <c r="J620" s="212">
        <f ca="1">IFERROR(__xludf.DUMMYFUNCTION("IMPORTRANGE(""https://docs.google.com/spreadsheets/d/11923uPwbBZFjjGgGUA6NLw09EwE0CqkOc4q9oUmW1yo/edit?usp=sharing"",""อุตรดิตถ์!J515"")"),0)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IFERROR(__xludf.DUMMYFUNCTION("IMPORTRANGE(""https://docs.google.com/spreadsheets/d/11923uPwbBZFjjGgGUA6NLw09EwE0CqkOc4q9oUmW1yo/edit?usp=sharing"",""อุตรดิตถ์!I516"")"),0)</f>
        <v>0</v>
      </c>
      <c r="J621" s="212">
        <f ca="1">IFERROR(__xludf.DUMMYFUNCTION("IMPORTRANGE(""https://docs.google.com/spreadsheets/d/11923uPwbBZFjjGgGUA6NLw09EwE0CqkOc4q9oUmW1yo/edit?usp=sharing"",""อุตรดิตถ์!J516"")"),0)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IFERROR(__xludf.DUMMYFUNCTION("IMPORTRANGE(""https://docs.google.com/spreadsheets/d/11923uPwbBZFjjGgGUA6NLw09EwE0CqkOc4q9oUmW1yo/edit?usp=sharing"",""อุตรดิตถ์!I517"")"),0)</f>
        <v>0</v>
      </c>
      <c r="J622" s="198">
        <f ca="1">IFERROR(__xludf.DUMMYFUNCTION("IMPORTRANGE(""https://docs.google.com/spreadsheets/d/11923uPwbBZFjjGgGUA6NLw09EwE0CqkOc4q9oUmW1yo/edit?usp=sharing"",""อุตรดิตถ์!J517"")"),0)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IFERROR(__xludf.DUMMYFUNCTION("IMPORTRANGE(""https://docs.google.com/spreadsheets/d/11923uPwbBZFjjGgGUA6NLw09EwE0CqkOc4q9oUmW1yo/edit?usp=sharing"",""อุตรดิตถ์!I518"")"),0)</f>
        <v>0</v>
      </c>
      <c r="J623" s="198">
        <f ca="1">IFERROR(__xludf.DUMMYFUNCTION("IMPORTRANGE(""https://docs.google.com/spreadsheets/d/11923uPwbBZFjjGgGUA6NLw09EwE0CqkOc4q9oUmW1yo/edit?usp=sharing"",""อุตรดิตถ์!J518"")"),0)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IFERROR(__xludf.DUMMYFUNCTION("IMPORTRANGE(""https://docs.google.com/spreadsheets/d/11923uPwbBZFjjGgGUA6NLw09EwE0CqkOc4q9oUmW1yo/edit?usp=sharing"",""อุตรดิตถ์!I519"")"),0)</f>
        <v>0</v>
      </c>
      <c r="J624" s="197">
        <f ca="1">IFERROR(__xludf.DUMMYFUNCTION("IMPORTRANGE(""https://docs.google.com/spreadsheets/d/11923uPwbBZFjjGgGUA6NLw09EwE0CqkOc4q9oUmW1yo/edit?usp=sharing"",""อุตรดิตถ์!J519"")"),0)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IFERROR(__xludf.DUMMYFUNCTION("IMPORTRANGE(""https://docs.google.com/spreadsheets/d/11923uPwbBZFjjGgGUA6NLw09EwE0CqkOc4q9oUmW1yo/edit?usp=sharing"",""อุตรดิตถ์!I520"")"),0)</f>
        <v>0</v>
      </c>
      <c r="J625" s="198">
        <f ca="1">IFERROR(__xludf.DUMMYFUNCTION("IMPORTRANGE(""https://docs.google.com/spreadsheets/d/11923uPwbBZFjjGgGUA6NLw09EwE0CqkOc4q9oUmW1yo/edit?usp=sharing"",""อุตรดิตถ์!J520"")"),0)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IFERROR(__xludf.DUMMYFUNCTION("IMPORTRANGE(""https://docs.google.com/spreadsheets/d/11923uPwbBZFjjGgGUA6NLw09EwE0CqkOc4q9oUmW1yo/edit?usp=sharing"",""อุตรดิตถ์!I521"")"),0)</f>
        <v>0</v>
      </c>
      <c r="J626" s="198">
        <f ca="1">IFERROR(__xludf.DUMMYFUNCTION("IMPORTRANGE(""https://docs.google.com/spreadsheets/d/11923uPwbBZFjjGgGUA6NLw09EwE0CqkOc4q9oUmW1yo/edit?usp=sharing"",""อุตรดิตถ์!J521"")"),0)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IFERROR(__xludf.DUMMYFUNCTION("IMPORTRANGE(""https://docs.google.com/spreadsheets/d/11923uPwbBZFjjGgGUA6NLw09EwE0CqkOc4q9oUmW1yo/edit?usp=sharing"",""อุตรดิตถ์!I523"")"),20731392.96)</f>
        <v>20731392.960000001</v>
      </c>
      <c r="J628" s="349">
        <f ca="1">IFERROR(__xludf.DUMMYFUNCTION("IMPORTRANGE(""https://docs.google.com/spreadsheets/d/11923uPwbBZFjjGgGUA6NLw09EwE0CqkOc4q9oUmW1yo/edit?usp=sharing"",""อุตรดิตถ์!J523"")"),4555099.04)</f>
        <v>4555099.04</v>
      </c>
      <c r="K628" s="350">
        <f t="shared" ref="K628:K635" ca="1" si="129">IF(I628&gt;0,J628*100/I628,0)</f>
        <v>21.971987356511907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IFERROR(__xludf.DUMMYFUNCTION("IMPORTRANGE(""https://docs.google.com/spreadsheets/d/11923uPwbBZFjjGgGUA6NLw09EwE0CqkOc4q9oUmW1yo/edit?usp=sharing"",""อุตรดิตถ์!I524"")"),842)</f>
        <v>842</v>
      </c>
      <c r="J629" s="349">
        <f ca="1">IFERROR(__xludf.DUMMYFUNCTION("IMPORTRANGE(""https://docs.google.com/spreadsheets/d/11923uPwbBZFjjGgGUA6NLw09EwE0CqkOc4q9oUmW1yo/edit?usp=sharing"",""อุตรดิตถ์!J524"")"),268)</f>
        <v>268</v>
      </c>
      <c r="K629" s="350">
        <f t="shared" ca="1" si="129"/>
        <v>31.828978622327792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IFERROR(__xludf.DUMMYFUNCTION("IMPORTRANGE(""https://docs.google.com/spreadsheets/d/11923uPwbBZFjjGgGUA6NLw09EwE0CqkOc4q9oUmW1yo/edit?usp=sharing"",""อุตรดิตถ์!I525"")"),19324248.74)</f>
        <v>19324248.739999998</v>
      </c>
      <c r="J630" s="349">
        <f ca="1">IFERROR(__xludf.DUMMYFUNCTION("IMPORTRANGE(""https://docs.google.com/spreadsheets/d/11923uPwbBZFjjGgGUA6NLw09EwE0CqkOc4q9oUmW1yo/edit?usp=sharing"",""อุตรดิตถ์!J525"")"),798730.2)</f>
        <v>798730.2</v>
      </c>
      <c r="K630" s="350">
        <f t="shared" ca="1" si="129"/>
        <v>4.1333053136843452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IFERROR(__xludf.DUMMYFUNCTION("IMPORTRANGE(""https://docs.google.com/spreadsheets/d/11923uPwbBZFjjGgGUA6NLw09EwE0CqkOc4q9oUmW1yo/edit?usp=sharing"",""อุตรดิตถ์!I526"")"),698)</f>
        <v>698</v>
      </c>
      <c r="J631" s="349">
        <f ca="1">IFERROR(__xludf.DUMMYFUNCTION("IMPORTRANGE(""https://docs.google.com/spreadsheets/d/11923uPwbBZFjjGgGUA6NLw09EwE0CqkOc4q9oUmW1yo/edit?usp=sharing"",""อุตรดิตถ์!J526"")"),131)</f>
        <v>131</v>
      </c>
      <c r="K631" s="350">
        <f t="shared" ca="1" si="129"/>
        <v>18.767908309455589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49">
        <f ca="1">IFERROR(__xludf.DUMMYFUNCTION("IMPORTRANGE(""https://docs.google.com/spreadsheets/d/11923uPwbBZFjjGgGUA6NLw09EwE0CqkOc4q9oUmW1yo/edit?usp=sharing"",""อุตรดิตถ์!J527"")"),116099.25)</f>
        <v>116099.25</v>
      </c>
      <c r="K632" s="350">
        <f t="shared" ca="1" si="129"/>
        <v>4.2125651463257556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IFERROR(__xludf.DUMMYFUNCTION("IMPORTRANGE(""https://docs.google.com/spreadsheets/d/11923uPwbBZFjjGgGUA6NLw09EwE0CqkOc4q9oUmW1yo/edit?usp=sharing"",""อุตรดิตถ์!I528"")"),79)</f>
        <v>79</v>
      </c>
      <c r="J633" s="349">
        <f ca="1">IFERROR(__xludf.DUMMYFUNCTION("IMPORTRANGE(""https://docs.google.com/spreadsheets/d/11923uPwbBZFjjGgGUA6NLw09EwE0CqkOc4q9oUmW1yo/edit?usp=sharing"",""อุตรดิตถ์!J528"")"),13)</f>
        <v>13</v>
      </c>
      <c r="K633" s="350">
        <f t="shared" ca="1" si="129"/>
        <v>16.455696202531644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49">
        <f ca="1">IFERROR(__xludf.DUMMYFUNCTION("IMPORTRANGE(""https://docs.google.com/spreadsheets/d/11923uPwbBZFjjGgGUA6NLw09EwE0CqkOc4q9oUmW1yo/edit?usp=sharing"",""อุตรดิตถ์!J529"")"),1660000)</f>
        <v>1660000</v>
      </c>
      <c r="K634" s="350">
        <f t="shared" ca="1" si="129"/>
        <v>11.066666666666666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IFERROR(__xludf.DUMMYFUNCTION("IMPORTRANGE(""https://docs.google.com/spreadsheets/d/11923uPwbBZFjjGgGUA6NLw09EwE0CqkOc4q9oUmW1yo/edit?usp=sharing"",""อุตรดิตถ์!I530"")"),400)</f>
        <v>400</v>
      </c>
      <c r="J635" s="519">
        <f ca="1">IFERROR(__xludf.DUMMYFUNCTION("IMPORTRANGE(""https://docs.google.com/spreadsheets/d/11923uPwbBZFjjGgGUA6NLw09EwE0CqkOc4q9oUmW1yo/edit?usp=sharing"",""อุตรดิตถ์!J530"")"),37)</f>
        <v>37</v>
      </c>
      <c r="K635" s="494">
        <f t="shared" ca="1" si="129"/>
        <v>9.25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9" sqref="J9"/>
      <selection pane="bottomLeft" activeCell="J9" sqref="J9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8.83203125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270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6693150</v>
      </c>
      <c r="M8" s="25">
        <f t="shared" ca="1" si="0"/>
        <v>2398925</v>
      </c>
      <c r="N8" s="25">
        <f t="shared" ca="1" si="0"/>
        <v>2189701.33</v>
      </c>
      <c r="O8" s="24">
        <f t="shared" ref="O8:O16" ca="1" si="1">IF(L8&gt;0,N8*100/L8,0)</f>
        <v>32.715557398235511</v>
      </c>
      <c r="P8" s="24">
        <f t="shared" ref="P8:P16" ca="1" si="2">IF(M8&gt;0,N8*100/M8,0)</f>
        <v>91.278440551497027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6693150</v>
      </c>
      <c r="M10" s="32">
        <f t="shared" ca="1" si="4"/>
        <v>2398925</v>
      </c>
      <c r="N10" s="32">
        <f t="shared" ca="1" si="4"/>
        <v>2189701.33</v>
      </c>
      <c r="O10" s="31">
        <f t="shared" ca="1" si="1"/>
        <v>32.715557398235511</v>
      </c>
      <c r="P10" s="31">
        <f t="shared" ca="1" si="2"/>
        <v>91.278440551497027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6453750</v>
      </c>
      <c r="M12" s="40">
        <f t="shared" ca="1" si="6"/>
        <v>2398925</v>
      </c>
      <c r="N12" s="40">
        <f t="shared" ca="1" si="6"/>
        <v>1952301.33</v>
      </c>
      <c r="O12" s="40">
        <f t="shared" ca="1" si="1"/>
        <v>30.250650087158629</v>
      </c>
      <c r="P12" s="40">
        <f t="shared" ca="1" si="2"/>
        <v>81.38234125702138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2346000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4107750</v>
      </c>
      <c r="M14" s="40">
        <f t="shared" si="8"/>
        <v>0</v>
      </c>
      <c r="N14" s="40">
        <f t="shared" ca="1" si="8"/>
        <v>421181.33</v>
      </c>
      <c r="O14" s="43">
        <f t="shared" ca="1" si="1"/>
        <v>10.253334063660155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239400</v>
      </c>
      <c r="M16" s="40">
        <f t="shared" si="10"/>
        <v>0</v>
      </c>
      <c r="N16" s="40">
        <f t="shared" ca="1" si="10"/>
        <v>237400</v>
      </c>
      <c r="O16" s="52">
        <f t="shared" ca="1" si="1"/>
        <v>99.16457811194654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4510755</v>
      </c>
      <c r="M18" s="25">
        <f t="shared" ca="1" si="11"/>
        <v>2398925</v>
      </c>
      <c r="N18" s="25">
        <f t="shared" ca="1" si="11"/>
        <v>1768520</v>
      </c>
      <c r="O18" s="24">
        <f t="shared" ref="O18:O20" ca="1" si="12">IF(L18&gt;0,N18*100/L18,0)</f>
        <v>39.20674033504369</v>
      </c>
      <c r="P18" s="24">
        <f t="shared" ref="P18:P26" ca="1" si="13">IF(M18&gt;0,N18*100/M18,0)</f>
        <v>73.721354356638912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4510755</v>
      </c>
      <c r="M20" s="32">
        <f t="shared" ca="1" si="15"/>
        <v>2398925</v>
      </c>
      <c r="N20" s="32">
        <f t="shared" ca="1" si="15"/>
        <v>1768520</v>
      </c>
      <c r="O20" s="31">
        <f t="shared" ca="1" si="12"/>
        <v>39.20674033504369</v>
      </c>
      <c r="P20" s="31">
        <f t="shared" ca="1" si="13"/>
        <v>73.721354356638912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4271355</v>
      </c>
      <c r="M22" s="44">
        <f t="shared" ca="1" si="18"/>
        <v>2398925</v>
      </c>
      <c r="N22" s="43">
        <f t="shared" ca="1" si="18"/>
        <v>1531120</v>
      </c>
      <c r="O22" s="43">
        <f t="shared" ca="1" si="17"/>
        <v>35.846236147545682</v>
      </c>
      <c r="P22" s="43">
        <f t="shared" ca="1" si="13"/>
        <v>63.825255062163258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2346000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1925355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239400</v>
      </c>
      <c r="M26" s="52">
        <f t="shared" si="22"/>
        <v>0</v>
      </c>
      <c r="N26" s="52">
        <f t="shared" ca="1" si="22"/>
        <v>237400</v>
      </c>
      <c r="O26" s="52">
        <f t="shared" ca="1" si="17"/>
        <v>99.16457811194654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2182395</v>
      </c>
      <c r="M28" s="25">
        <f t="shared" si="23"/>
        <v>0</v>
      </c>
      <c r="N28" s="25">
        <f t="shared" ca="1" si="23"/>
        <v>421181.33</v>
      </c>
      <c r="O28" s="24">
        <f t="shared" ref="O28:O30" ca="1" si="24">IF(L28&gt;0,N28*100/L28,0)</f>
        <v>19.29904210740952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2182395</v>
      </c>
      <c r="M30" s="32">
        <f t="shared" si="27"/>
        <v>0</v>
      </c>
      <c r="N30" s="32">
        <f t="shared" ca="1" si="27"/>
        <v>421181.33</v>
      </c>
      <c r="O30" s="31">
        <f t="shared" ca="1" si="24"/>
        <v>19.29904210740952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2182395</v>
      </c>
      <c r="M32" s="43">
        <f t="shared" si="30"/>
        <v>0</v>
      </c>
      <c r="N32" s="43">
        <f t="shared" ca="1" si="30"/>
        <v>421181.33</v>
      </c>
      <c r="O32" s="43">
        <f t="shared" ca="1" si="29"/>
        <v>19.29904210740952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2182395</v>
      </c>
      <c r="M34" s="43">
        <f t="shared" si="32"/>
        <v>0</v>
      </c>
      <c r="N34" s="43">
        <f t="shared" ca="1" si="32"/>
        <v>421181.33</v>
      </c>
      <c r="O34" s="43">
        <f t="shared" ca="1" si="29"/>
        <v>19.29904210740952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4510755</v>
      </c>
      <c r="M37" s="57">
        <f t="shared" ca="1" si="33"/>
        <v>2398925</v>
      </c>
      <c r="N37" s="57">
        <f t="shared" ca="1" si="33"/>
        <v>1768520</v>
      </c>
      <c r="O37" s="58">
        <f t="shared" ca="1" si="29"/>
        <v>39.20674033504369</v>
      </c>
      <c r="P37" s="58">
        <f t="shared" ca="1" si="25"/>
        <v>73.721354356638912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784100</v>
      </c>
      <c r="M41" s="81">
        <f t="shared" ca="1" si="34"/>
        <v>392100</v>
      </c>
      <c r="N41" s="81">
        <f t="shared" ca="1" si="34"/>
        <v>322151</v>
      </c>
      <c r="O41" s="80">
        <f t="shared" ref="O41:O43" ca="1" si="35">IF(L41&gt;0,N41*100/L41,0)</f>
        <v>41.085448284657566</v>
      </c>
      <c r="P41" s="80">
        <f t="shared" ref="P41:P43" ca="1" si="36">IF(M41&gt;0,N41*100/M41,0)</f>
        <v>82.160418260647788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784100</v>
      </c>
      <c r="M43" s="81">
        <f t="shared" ca="1" si="38"/>
        <v>392100</v>
      </c>
      <c r="N43" s="81">
        <f t="shared" ca="1" si="38"/>
        <v>322151</v>
      </c>
      <c r="O43" s="80">
        <f t="shared" ca="1" si="35"/>
        <v>41.085448284657566</v>
      </c>
      <c r="P43" s="80">
        <f t="shared" ca="1" si="36"/>
        <v>82.160418260647788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784100</v>
      </c>
      <c r="M45" s="93">
        <f ca="1">IFERROR(__xludf.DUMMYFUNCTION("IMPORTRANGE(""https://docs.google.com/spreadsheets/d/1Yj_ptqi66GCucihVvJfMjLAmec39IyEx_6qawtMGysU/edit?usp=sharing"",""สบก!Q36"")"),392100)</f>
        <v>392100</v>
      </c>
      <c r="N45" s="93">
        <f ca="1">IFERROR(__xludf.DUMMYFUNCTION("IMPORTRANGE(""https://docs.google.com/spreadsheets/d/1Yj_ptqi66GCucihVvJfMjLAmec39IyEx_6qawtMGysU/edit?usp=sharing"",""สบก!R36"")"),322151)</f>
        <v>322151</v>
      </c>
      <c r="O45" s="94">
        <f ca="1">IF(L45&gt;0,N45*100/L45,0)</f>
        <v>41.085448284657566</v>
      </c>
      <c r="P45" s="94">
        <f ca="1">IF(M45&gt;0,N45*100/M45,0)</f>
        <v>82.160418260647788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IFERROR(__xludf.DUMMYFUNCTION("IMPORTRANGE(""https://docs.google.com/spreadsheets/d/1Yj_ptqi66GCucihVvJfMjLAmec39IyEx_6qawtMGysU/edit?usp=sharing"",""สบก!M36"")"),784100)</f>
        <v>784100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IFERROR(__xludf.DUMMYFUNCTION("IMPORTRANGE(""https://docs.google.com/spreadsheets/d/1Yj_ptqi66GCucihVvJfMjLAmec39IyEx_6qawtMGysU/edit?usp=sharing"",""สบก!N36"")"),0)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IFERROR(__xludf.DUMMYFUNCTION("IMPORTRANGE(""https://docs.google.com/spreadsheets/d/1Yj_ptqi66GCucihVvJfMjLAmec39IyEx_6qawtMGysU/edit?usp=sharing"",""สบก!O36"")"),0)</f>
        <v>0</v>
      </c>
      <c r="M49" s="103"/>
      <c r="N49" s="93">
        <f ca="1">IFERROR(__xludf.DUMMYFUNCTION("IMPORTRANGE(""https://docs.google.com/spreadsheets/d/1Yj_ptqi66GCucihVvJfMjLAmec39IyEx_6qawtMGysU/edit?usp=sharing"",""สบก!S36"")"),0)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750000</v>
      </c>
      <c r="M53" s="127">
        <f t="shared" ca="1" si="39"/>
        <v>393000</v>
      </c>
      <c r="N53" s="127">
        <f t="shared" ca="1" si="39"/>
        <v>369750</v>
      </c>
      <c r="O53" s="126">
        <f t="shared" ref="O53:O55" ca="1" si="40">IF(L53&gt;0,N53*100/L53,0)</f>
        <v>49.3</v>
      </c>
      <c r="P53" s="126">
        <f t="shared" ref="P53:P55" ca="1" si="41">IF(M53&gt;0,N53*100/M53,0)</f>
        <v>94.083969465648849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750000</v>
      </c>
      <c r="M55" s="127">
        <f t="shared" ca="1" si="43"/>
        <v>393000</v>
      </c>
      <c r="N55" s="127">
        <f t="shared" ca="1" si="43"/>
        <v>369750</v>
      </c>
      <c r="O55" s="126">
        <f t="shared" ca="1" si="40"/>
        <v>49.3</v>
      </c>
      <c r="P55" s="126">
        <f t="shared" ca="1" si="41"/>
        <v>94.083969465648849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750000</v>
      </c>
      <c r="M57" s="93">
        <f ca="1">IFERROR(__xludf.DUMMYFUNCTION("IMPORTRANGE(""https://docs.google.com/spreadsheets/d/1Yj_ptqi66GCucihVvJfMjLAmec39IyEx_6qawtMGysU/edit?usp=sharing"",""สบก!Z36"")"),393000)</f>
        <v>393000</v>
      </c>
      <c r="N57" s="93">
        <f ca="1">IFERROR(__xludf.DUMMYFUNCTION("IMPORTRANGE(""https://docs.google.com/spreadsheets/d/1Yj_ptqi66GCucihVvJfMjLAmec39IyEx_6qawtMGysU/edit?usp=sharing"",""สบก!AA36"")"),369750)</f>
        <v>369750</v>
      </c>
      <c r="O57" s="94">
        <f ca="1">IF(L57&gt;0,N57*100/L57,0)</f>
        <v>49.3</v>
      </c>
      <c r="P57" s="94">
        <f ca="1">IF(M57&gt;0,N57*100/M57,0)</f>
        <v>94.083969465648849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IFERROR(__xludf.DUMMYFUNCTION("IMPORTRANGE(""https://docs.google.com/spreadsheets/d/1Yj_ptqi66GCucihVvJfMjLAmec39IyEx_6qawtMGysU/edit?usp=sharing"",""สบก!V36"")"),750000)</f>
        <v>750000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IFERROR(__xludf.DUMMYFUNCTION("IMPORTRANGE(""https://docs.google.com/spreadsheets/d/1Yj_ptqi66GCucihVvJfMjLAmec39IyEx_6qawtMGysU/edit?usp=sharing"",""สบก!W36"")"),0)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IFERROR(__xludf.DUMMYFUNCTION("IMPORTRANGE(""https://docs.google.com/spreadsheets/d/1Yj_ptqi66GCucihVvJfMjLAmec39IyEx_6qawtMGysU/edit?usp=sharing"",""สบก!X36"")"),0)</f>
        <v>0</v>
      </c>
      <c r="M61" s="103"/>
      <c r="N61" s="93">
        <f ca="1">IFERROR(__xludf.DUMMYFUNCTION("IMPORTRANGE(""https://docs.google.com/spreadsheets/d/1Yj_ptqi66GCucihVvJfMjLAmec39IyEx_6qawtMGysU/edit?usp=sharing"",""สบก!AB36"")"),0)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IFERROR(__xludf.DUMMYFUNCTION("IMPORTRANGE(""https://docs.google.com/spreadsheets/d/11923uPwbBZFjjGgGUA6NLw09EwE0CqkOc4q9oUmW1yo/edit?usp=sharing"",""อุทัยธานี!I9"")"),2)</f>
        <v>2</v>
      </c>
      <c r="J64" s="148">
        <f ca="1">IFERROR(__xludf.DUMMYFUNCTION("IMPORTRANGE(""https://docs.google.com/spreadsheets/d/11923uPwbBZFjjGgGUA6NLw09EwE0CqkOc4q9oUmW1yo/edit?usp=sharing"",""อุทัยธานี!J9"")"),2)</f>
        <v>2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IFERROR(__xludf.DUMMYFUNCTION("IMPORTRANGE(""https://docs.google.com/spreadsheets/d/11923uPwbBZFjjGgGUA6NLw09EwE0CqkOc4q9oUmW1yo/edit?usp=sharing"",""อุทัยธานี!I10"")"),70)</f>
        <v>70</v>
      </c>
      <c r="J65" s="148">
        <f ca="1">IFERROR(__xludf.DUMMYFUNCTION("IMPORTRANGE(""https://docs.google.com/spreadsheets/d/11923uPwbBZFjjGgGUA6NLw09EwE0CqkOc4q9oUmW1yo/edit?usp=sharing"",""อุทัยธานี!J10"")"),70)</f>
        <v>70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829500</v>
      </c>
      <c r="M66" s="158">
        <f t="shared" ca="1" si="45"/>
        <v>487300</v>
      </c>
      <c r="N66" s="158">
        <f t="shared" ca="1" si="45"/>
        <v>218244</v>
      </c>
      <c r="O66" s="157">
        <f t="shared" ref="O66:O68" ca="1" si="46">IF(L66&gt;0,N66*100/L66,0)</f>
        <v>26.310307414104884</v>
      </c>
      <c r="P66" s="157">
        <f t="shared" ref="P66:P68" ca="1" si="47">IF(M66&gt;0,N66*100/M66,0)</f>
        <v>44.786373896983378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829500</v>
      </c>
      <c r="M68" s="163">
        <f t="shared" ca="1" si="49"/>
        <v>487300</v>
      </c>
      <c r="N68" s="163">
        <f t="shared" ca="1" si="49"/>
        <v>218244</v>
      </c>
      <c r="O68" s="162">
        <f t="shared" ca="1" si="46"/>
        <v>26.310307414104884</v>
      </c>
      <c r="P68" s="162">
        <f t="shared" ca="1" si="47"/>
        <v>44.786373896983378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829500</v>
      </c>
      <c r="M70" s="176">
        <f ca="1">IFERROR(__xludf.DUMMYFUNCTION("IMPORTRANGE(""https://docs.google.com/spreadsheets/d/1Yj_ptqi66GCucihVvJfMjLAmec39IyEx_6qawtMGysU/edit?usp=sharing"",""สบก!AI36"")"),487300)</f>
        <v>487300</v>
      </c>
      <c r="N70" s="177">
        <f ca="1">IFERROR(__xludf.DUMMYFUNCTION("IMPORTRANGE(""https://docs.google.com/spreadsheets/d/1Yj_ptqi66GCucihVvJfMjLAmec39IyEx_6qawtMGysU/edit?usp=sharing"",""สบก!AJ36"")"),218244)</f>
        <v>218244</v>
      </c>
      <c r="O70" s="178">
        <f ca="1">IF(L70&gt;0,N70*100/L70,0)</f>
        <v>26.310307414104884</v>
      </c>
      <c r="P70" s="178">
        <f ca="1">IF(M70&gt;0,N70*100/M70,0)</f>
        <v>44.786373896983378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IFERROR(__xludf.DUMMYFUNCTION("IMPORTRANGE(""https://docs.google.com/spreadsheets/d/1Yj_ptqi66GCucihVvJfMjLAmec39IyEx_6qawtMGysU/edit?usp=sharing"",""สบก!AE36"")"),179500)</f>
        <v>179500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IFERROR(__xludf.DUMMYFUNCTION("IMPORTRANGE(""https://docs.google.com/spreadsheets/d/1Yj_ptqi66GCucihVvJfMjLAmec39IyEx_6qawtMGysU/edit?usp=sharing"",""สบก!AF36"")"),650000)</f>
        <v>650000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IFERROR(__xludf.DUMMYFUNCTION("IMPORTRANGE(""https://docs.google.com/spreadsheets/d/1Yj_ptqi66GCucihVvJfMjLAmec39IyEx_6qawtMGysU/edit?usp=sharing"",""สบก!AG36"")"),0)</f>
        <v>0</v>
      </c>
      <c r="M74" s="103"/>
      <c r="N74" s="93">
        <f ca="1">IFERROR(__xludf.DUMMYFUNCTION("IMPORTRANGE(""https://docs.google.com/spreadsheets/d/1Yj_ptqi66GCucihVvJfMjLAmec39IyEx_6qawtMGysU/edit?usp=sharing"",""สบก!AK36"")"),0)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IFERROR(__xludf.DUMMYFUNCTION("IMPORTRANGE(""https://docs.google.com/spreadsheets/d/11923uPwbBZFjjGgGUA6NLw09EwE0CqkOc4q9oUmW1yo/edit?usp=sharing"",""อุทัยธานี!J16"")"),0)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IFERROR(__xludf.DUMMYFUNCTION("IMPORTRANGE(""https://docs.google.com/spreadsheets/d/11923uPwbBZFjjGgGUA6NLw09EwE0CqkOc4q9oUmW1yo/edit?usp=sharing"",""อุทัยธานี!J17"")"),1)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IFERROR(__xludf.DUMMYFUNCTION("IMPORTRANGE(""https://docs.google.com/spreadsheets/d/11923uPwbBZFjjGgGUA6NLw09EwE0CqkOc4q9oUmW1yo/edit?usp=sharing"",""อุทัยธานี!J18"")"),1)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IFERROR(__xludf.DUMMYFUNCTION("IMPORTRANGE(""https://docs.google.com/spreadsheets/d/11923uPwbBZFjjGgGUA6NLw09EwE0CqkOc4q9oUmW1yo/edit?usp=sharing"",""อุทัยธานี!J19"")"),1)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IFERROR(__xludf.DUMMYFUNCTION("IMPORTRANGE(""https://docs.google.com/spreadsheets/d/11923uPwbBZFjjGgGUA6NLw09EwE0CqkOc4q9oUmW1yo/edit?usp=sharing"",""อุทัยธานี!I20"")"),2)</f>
        <v>2</v>
      </c>
      <c r="J80" s="210">
        <f ca="1">IFERROR(__xludf.DUMMYFUNCTION("IMPORTRANGE(""https://docs.google.com/spreadsheets/d/11923uPwbBZFjjGgGUA6NLw09EwE0CqkOc4q9oUmW1yo/edit?usp=sharing"",""อุทัยธานี!J20"")"),2)</f>
        <v>2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IFERROR(__xludf.DUMMYFUNCTION("IMPORTRANGE(""https://docs.google.com/spreadsheets/d/11923uPwbBZFjjGgGUA6NLw09EwE0CqkOc4q9oUmW1yo/edit?usp=sharing"",""อุทัยธานี!I21"")"),70)</f>
        <v>70</v>
      </c>
      <c r="J81" s="210">
        <f ca="1">IFERROR(__xludf.DUMMYFUNCTION("IMPORTRANGE(""https://docs.google.com/spreadsheets/d/11923uPwbBZFjjGgGUA6NLw09EwE0CqkOc4q9oUmW1yo/edit?usp=sharing"",""อุทัยธานี!J21"")"),70)</f>
        <v>70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IFERROR(__xludf.DUMMYFUNCTION("IMPORTRANGE(""https://docs.google.com/spreadsheets/d/11923uPwbBZFjjGgGUA6NLw09EwE0CqkOc4q9oUmW1yo/edit?usp=sharing"",""อุทัยธานี!I22"")"),1)</f>
        <v>1</v>
      </c>
      <c r="J82" s="213">
        <f ca="1">IFERROR(__xludf.DUMMYFUNCTION("IMPORTRANGE(""https://docs.google.com/spreadsheets/d/11923uPwbBZFjjGgGUA6NLw09EwE0CqkOc4q9oUmW1yo/edit?usp=sharing"",""อุทัยธานี!J22"")"),1)</f>
        <v>1</v>
      </c>
      <c r="K82" s="171">
        <f t="shared" ca="1" si="50"/>
        <v>100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IFERROR(__xludf.DUMMYFUNCTION("IMPORTRANGE(""https://docs.google.com/spreadsheets/d/11923uPwbBZFjjGgGUA6NLw09EwE0CqkOc4q9oUmW1yo/edit?usp=sharing"",""อุทัยธานี!I23"")"),30)</f>
        <v>30</v>
      </c>
      <c r="J83" s="213">
        <f ca="1">IFERROR(__xludf.DUMMYFUNCTION("IMPORTRANGE(""https://docs.google.com/spreadsheets/d/11923uPwbBZFjjGgGUA6NLw09EwE0CqkOc4q9oUmW1yo/edit?usp=sharing"",""อุทัยธานี!J23"")"),30)</f>
        <v>30</v>
      </c>
      <c r="K83" s="171">
        <f t="shared" ca="1" si="50"/>
        <v>100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IFERROR(__xludf.DUMMYFUNCTION("IMPORTRANGE(""https://docs.google.com/spreadsheets/d/11923uPwbBZFjjGgGUA6NLw09EwE0CqkOc4q9oUmW1yo/edit?usp=sharing"",""อุทัยธานี!I24"")"),0)</f>
        <v>0</v>
      </c>
      <c r="J84" s="198">
        <f ca="1">IFERROR(__xludf.DUMMYFUNCTION("IMPORTRANGE(""https://docs.google.com/spreadsheets/d/11923uPwbBZFjjGgGUA6NLw09EwE0CqkOc4q9oUmW1yo/edit?usp=sharing"",""อุทัยธานี!J24"")"),0)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IFERROR(__xludf.DUMMYFUNCTION("IMPORTRANGE(""https://docs.google.com/spreadsheets/d/11923uPwbBZFjjGgGUA6NLw09EwE0CqkOc4q9oUmW1yo/edit?usp=sharing"",""อุทัยธานี!I25"")"),0)</f>
        <v>0</v>
      </c>
      <c r="J85" s="198">
        <f ca="1">IFERROR(__xludf.DUMMYFUNCTION("IMPORTRANGE(""https://docs.google.com/spreadsheets/d/11923uPwbBZFjjGgGUA6NLw09EwE0CqkOc4q9oUmW1yo/edit?usp=sharing"",""อุทัยธานี!J25"")"),0)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IFERROR(__xludf.DUMMYFUNCTION("IMPORTRANGE(""https://docs.google.com/spreadsheets/d/11923uPwbBZFjjGgGUA6NLw09EwE0CqkOc4q9oUmW1yo/edit?usp=sharing"",""อุทัยธานี!I26"")"),1)</f>
        <v>1</v>
      </c>
      <c r="J86" s="213">
        <f ca="1">IFERROR(__xludf.DUMMYFUNCTION("IMPORTRANGE(""https://docs.google.com/spreadsheets/d/11923uPwbBZFjjGgGUA6NLw09EwE0CqkOc4q9oUmW1yo/edit?usp=sharing"",""อุทัยธานี!J26"")"),1)</f>
        <v>1</v>
      </c>
      <c r="K86" s="171">
        <f t="shared" ca="1" si="50"/>
        <v>100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IFERROR(__xludf.DUMMYFUNCTION("IMPORTRANGE(""https://docs.google.com/spreadsheets/d/11923uPwbBZFjjGgGUA6NLw09EwE0CqkOc4q9oUmW1yo/edit?usp=sharing"",""อุทัยธานี!I27"")"),40)</f>
        <v>40</v>
      </c>
      <c r="J87" s="213">
        <f ca="1">IFERROR(__xludf.DUMMYFUNCTION("IMPORTRANGE(""https://docs.google.com/spreadsheets/d/11923uPwbBZFjjGgGUA6NLw09EwE0CqkOc4q9oUmW1yo/edit?usp=sharing"",""อุทัยธานี!J27"")"),40)</f>
        <v>40</v>
      </c>
      <c r="K87" s="171">
        <f t="shared" ca="1" si="50"/>
        <v>100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IFERROR(__xludf.DUMMYFUNCTION("IMPORTRANGE(""https://docs.google.com/spreadsheets/d/11923uPwbBZFjjGgGUA6NLw09EwE0CqkOc4q9oUmW1yo/edit?usp=sharing"",""อุทัยธานี!I28"")"),30)</f>
        <v>30</v>
      </c>
      <c r="J88" s="213">
        <f ca="1">IFERROR(__xludf.DUMMYFUNCTION("IMPORTRANGE(""https://docs.google.com/spreadsheets/d/11923uPwbBZFjjGgGUA6NLw09EwE0CqkOc4q9oUmW1yo/edit?usp=sharing"",""อุทัยธานี!J28"")"),0)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IFERROR(__xludf.DUMMYFUNCTION("IMPORTRANGE(""https://docs.google.com/spreadsheets/d/11923uPwbBZFjjGgGUA6NLw09EwE0CqkOc4q9oUmW1yo/edit?usp=sharing"",""อุทัยธานี!J29"")"),0)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IFERROR(__xludf.DUMMYFUNCTION("IMPORTRANGE(""https://docs.google.com/spreadsheets/d/11923uPwbBZFjjGgGUA6NLw09EwE0CqkOc4q9oUmW1yo/edit?usp=sharing"",""อุทัยธานี!J30"")"),0)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IFERROR(__xludf.DUMMYFUNCTION("IMPORTRANGE(""https://docs.google.com/spreadsheets/d/11923uPwbBZFjjGgGUA6NLw09EwE0CqkOc4q9oUmW1yo/edit?usp=sharing"",""อุทัยธานี!I32"")"),4)</f>
        <v>4</v>
      </c>
      <c r="J92" s="148">
        <f ca="1">IFERROR(__xludf.DUMMYFUNCTION("IMPORTRANGE(""https://docs.google.com/spreadsheets/d/11923uPwbBZFjjGgGUA6NLw09EwE0CqkOc4q9oUmW1yo/edit?usp=sharing"",""อุทัยธานี!J32"")"),0)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IFERROR(__xludf.DUMMYFUNCTION("IMPORTRANGE(""https://docs.google.com/spreadsheets/d/11923uPwbBZFjjGgGUA6NLw09EwE0CqkOc4q9oUmW1yo/edit?usp=sharing"",""อุทัยธานี!I33"")"),1)</f>
        <v>1</v>
      </c>
      <c r="J93" s="148">
        <f ca="1">IFERROR(__xludf.DUMMYFUNCTION("IMPORTRANGE(""https://docs.google.com/spreadsheets/d/11923uPwbBZFjjGgGUA6NLw09EwE0CqkOc4q9oUmW1yo/edit?usp=sharing"",""อุทัยธานี!J33"")"),0)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104820</v>
      </c>
      <c r="O94" s="157">
        <f t="shared" ref="O94:O96" ca="1" si="53">IF(L94&gt;0,N94*100/L94,0)</f>
        <v>48.867132867132867</v>
      </c>
      <c r="P94" s="157">
        <f t="shared" ref="P94:P96" ca="1" si="54">IF(M94&gt;0,N94*100/M94,0)</f>
        <v>152.50982103884766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104820</v>
      </c>
      <c r="O96" s="162">
        <f t="shared" ca="1" si="53"/>
        <v>48.867132867132867</v>
      </c>
      <c r="P96" s="162">
        <f t="shared" ca="1" si="54"/>
        <v>152.50982103884766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IFERROR(__xludf.DUMMYFUNCTION("IMPORTRANGE(""https://docs.google.com/spreadsheets/d/1Yj_ptqi66GCucihVvJfMjLAmec39IyEx_6qawtMGysU/edit?usp=sharing"",""สบก!AR36"")"),68730)</f>
        <v>68730</v>
      </c>
      <c r="N98" s="177">
        <f ca="1">IFERROR(__xludf.DUMMYFUNCTION("IMPORTRANGE(""https://docs.google.com/spreadsheets/d/1Yj_ptqi66GCucihVvJfMjLAmec39IyEx_6qawtMGysU/edit?usp=sharing"",""สบก!AS36"")"),12420)</f>
        <v>12420</v>
      </c>
      <c r="O98" s="178">
        <f ca="1">IF(L98&gt;0,N98*100/L98,0)</f>
        <v>10.171990171990172</v>
      </c>
      <c r="P98" s="178">
        <f ca="1">IF(M98&gt;0,N98*100/M98,0)</f>
        <v>18.070711479703185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IFERROR(__xludf.DUMMYFUNCTION("IMPORTRANGE(""https://docs.google.com/spreadsheets/d/1Yj_ptqi66GCucihVvJfMjLAmec39IyEx_6qawtMGysU/edit?usp=sharing"",""สบก!AN36"")"),0)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IFERROR(__xludf.DUMMYFUNCTION("IMPORTRANGE(""https://docs.google.com/spreadsheets/d/1Yj_ptqi66GCucihVvJfMjLAmec39IyEx_6qawtMGysU/edit?usp=sharing"",""สบก!AO36"")"),122100)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IFERROR(__xludf.DUMMYFUNCTION("IMPORTRANGE(""https://docs.google.com/spreadsheets/d/1Yj_ptqi66GCucihVvJfMjLAmec39IyEx_6qawtMGysU/edit?usp=sharing"",""สบก!AP36"")"),92400)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IFERROR(__xludf.DUMMYFUNCTION("IMPORTRANGE(""https://docs.google.com/spreadsheets/d/1Yj_ptqi66GCucihVvJfMjLAmec39IyEx_6qawtMGysU/edit?usp=sharing"",""สบก!AT36"")"),92400)</f>
        <v>92400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IFERROR(__xludf.DUMMYFUNCTION("IMPORTRANGE(""https://docs.google.com/spreadsheets/d/11923uPwbBZFjjGgGUA6NLw09EwE0CqkOc4q9oUmW1yo/edit?usp=sharing"",""อุทัยธานี!J39"")"),0)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IFERROR(__xludf.DUMMYFUNCTION("IMPORTRANGE(""https://docs.google.com/spreadsheets/d/11923uPwbBZFjjGgGUA6NLw09EwE0CqkOc4q9oUmW1yo/edit?usp=sharing"",""อุทัยธานี!J40"")"),1)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IFERROR(__xludf.DUMMYFUNCTION("IMPORTRANGE(""https://docs.google.com/spreadsheets/d/11923uPwbBZFjjGgGUA6NLw09EwE0CqkOc4q9oUmW1yo/edit?usp=sharing"",""อุทัยธานี!J41"")"),1)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IFERROR(__xludf.DUMMYFUNCTION("IMPORTRANGE(""https://docs.google.com/spreadsheets/d/11923uPwbBZFjjGgGUA6NLw09EwE0CqkOc4q9oUmW1yo/edit?usp=sharing"",""อุทัยธานี!J42"")"),1)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IFERROR(__xludf.DUMMYFUNCTION("IMPORTRANGE(""https://docs.google.com/spreadsheets/d/11923uPwbBZFjjGgGUA6NLw09EwE0CqkOc4q9oUmW1yo/edit?usp=sharing"",""อุทัยธานี!I43"")"),1)</f>
        <v>1</v>
      </c>
      <c r="J108" s="213">
        <f ca="1">IFERROR(__xludf.DUMMYFUNCTION("IMPORTRANGE(""https://docs.google.com/spreadsheets/d/11923uPwbBZFjjGgGUA6NLw09EwE0CqkOc4q9oUmW1yo/edit?usp=sharing"",""อุทัยธานี!J43"")"),1)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IFERROR(__xludf.DUMMYFUNCTION("IMPORTRANGE(""https://docs.google.com/spreadsheets/d/11923uPwbBZFjjGgGUA6NLw09EwE0CqkOc4q9oUmW1yo/edit?usp=sharing"",""อุทัยธานี!I44"")"),4)</f>
        <v>4</v>
      </c>
      <c r="J109" s="213">
        <f ca="1">IFERROR(__xludf.DUMMYFUNCTION("IMPORTRANGE(""https://docs.google.com/spreadsheets/d/11923uPwbBZFjjGgGUA6NLw09EwE0CqkOc4q9oUmW1yo/edit?usp=sharing"",""อุทัยธานี!J44"")"),0)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IFERROR(__xludf.DUMMYFUNCTION("IMPORTRANGE(""https://docs.google.com/spreadsheets/d/11923uPwbBZFjjGgGUA6NLw09EwE0CqkOc4q9oUmW1yo/edit?usp=sharing"",""อุทัยธานี!I45"")"),4)</f>
        <v>4</v>
      </c>
      <c r="J110" s="213">
        <f ca="1">IFERROR(__xludf.DUMMYFUNCTION("IMPORTRANGE(""https://docs.google.com/spreadsheets/d/11923uPwbBZFjjGgGUA6NLw09EwE0CqkOc4q9oUmW1yo/edit?usp=sharing"",""อุทัยธานี!J45"")"),4)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IFERROR(__xludf.DUMMYFUNCTION("IMPORTRANGE(""https://docs.google.com/spreadsheets/d/11923uPwbBZFjjGgGUA6NLw09EwE0CqkOc4q9oUmW1yo/edit?usp=sharing"",""อุทัยธานี!I46"")"),4)</f>
        <v>4</v>
      </c>
      <c r="J111" s="213">
        <f ca="1">IFERROR(__xludf.DUMMYFUNCTION("IMPORTRANGE(""https://docs.google.com/spreadsheets/d/11923uPwbBZFjjGgGUA6NLw09EwE0CqkOc4q9oUmW1yo/edit?usp=sharing"",""อุทัยธานี!J46"")"),0)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IFERROR(__xludf.DUMMYFUNCTION("IMPORTRANGE(""https://docs.google.com/spreadsheets/d/11923uPwbBZFjjGgGUA6NLw09EwE0CqkOc4q9oUmW1yo/edit?usp=sharing"",""อุทัยธานี!I47"")"),4)</f>
        <v>4</v>
      </c>
      <c r="J112" s="213">
        <f ca="1">IFERROR(__xludf.DUMMYFUNCTION("IMPORTRANGE(""https://docs.google.com/spreadsheets/d/11923uPwbBZFjjGgGUA6NLw09EwE0CqkOc4q9oUmW1yo/edit?usp=sharing"",""อุทัยธานี!J47"")"),0)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IFERROR(__xludf.DUMMYFUNCTION("IMPORTRANGE(""https://docs.google.com/spreadsheets/d/11923uPwbBZFjjGgGUA6NLw09EwE0CqkOc4q9oUmW1yo/edit?usp=sharing"",""อุทัยธานี!I48"")"),1)</f>
        <v>1</v>
      </c>
      <c r="J113" s="213">
        <f ca="1">IFERROR(__xludf.DUMMYFUNCTION("IMPORTRANGE(""https://docs.google.com/spreadsheets/d/11923uPwbBZFjjGgGUA6NLw09EwE0CqkOc4q9oUmW1yo/edit?usp=sharing"",""อุทัยธานี!J48"")"),0)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IFERROR(__xludf.DUMMYFUNCTION("IMPORTRANGE(""https://docs.google.com/spreadsheets/d/11923uPwbBZFjjGgGUA6NLw09EwE0CqkOc4q9oUmW1yo/edit?usp=sharing"",""อุทัยธานี!J49"")"),0)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IFERROR(__xludf.DUMMYFUNCTION("IMPORTRANGE(""https://docs.google.com/spreadsheets/d/11923uPwbBZFjjGgGUA6NLw09EwE0CqkOc4q9oUmW1yo/edit?usp=sharing"",""อุทัยธานี!J50"")"),0)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IFERROR(__xludf.DUMMYFUNCTION("IMPORTRANGE(""https://docs.google.com/spreadsheets/d/11923uPwbBZFjjGgGUA6NLw09EwE0CqkOc4q9oUmW1yo/edit?usp=sharing"",""อุทัยธานี!I52"")"),0)</f>
        <v>0</v>
      </c>
      <c r="J117" s="148">
        <f ca="1">IFERROR(__xludf.DUMMYFUNCTION("IMPORTRANGE(""https://docs.google.com/spreadsheets/d/11923uPwbBZFjjGgGUA6NLw09EwE0CqkOc4q9oUmW1yo/edit?usp=sharing"",""อุทัยธานี!J52"")"),0)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IFERROR(__xludf.DUMMYFUNCTION("IMPORTRANGE(""https://docs.google.com/spreadsheets/d/1Yj_ptqi66GCucihVvJfMjLAmec39IyEx_6qawtMGysU/edit?usp=sharing"",""สบก!BA36"")"),0)</f>
        <v>0</v>
      </c>
      <c r="N122" s="177">
        <f ca="1">IFERROR(__xludf.DUMMYFUNCTION("IMPORTRANGE(""https://docs.google.com/spreadsheets/d/1Yj_ptqi66GCucihVvJfMjLAmec39IyEx_6qawtMGysU/edit?usp=sharing"",""สบก!BB36"")"),0)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IFERROR(__xludf.DUMMYFUNCTION("IMPORTRANGE(""https://docs.google.com/spreadsheets/d/1Yj_ptqi66GCucihVvJfMjLAmec39IyEx_6qawtMGysU/edit?usp=sharing"",""สบก!AW36"")"),0)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IFERROR(__xludf.DUMMYFUNCTION("IMPORTRANGE(""https://docs.google.com/spreadsheets/d/1Yj_ptqi66GCucihVvJfMjLAmec39IyEx_6qawtMGysU/edit?usp=sharing"",""สบก!AX36"")"),0)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IFERROR(__xludf.DUMMYFUNCTION("IMPORTRANGE(""https://docs.google.com/spreadsheets/d/1Yj_ptqi66GCucihVvJfMjLAmec39IyEx_6qawtMGysU/edit?usp=sharing"",""สบก!AY36"")"),0)</f>
        <v>0</v>
      </c>
      <c r="M126" s="103"/>
      <c r="N126" s="93">
        <f ca="1">IFERROR(__xludf.DUMMYFUNCTION("IMPORTRANGE(""https://docs.google.com/spreadsheets/d/1Yj_ptqi66GCucihVvJfMjLAmec39IyEx_6qawtMGysU/edit?usp=sharing"",""สบก!BC36"")"),0)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271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IFERROR(__xludf.DUMMYFUNCTION("IMPORTRANGE(""https://docs.google.com/spreadsheets/d/11923uPwbBZFjjGgGUA6NLw09EwE0CqkOc4q9oUmW1yo/edit?usp=sharing"",""อุทัยธานี!J58"")"),0)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IFERROR(__xludf.DUMMYFUNCTION("IMPORTRANGE(""https://docs.google.com/spreadsheets/d/11923uPwbBZFjjGgGUA6NLw09EwE0CqkOc4q9oUmW1yo/edit?usp=sharing"",""อุทัยธานี!J59"")"),0)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IFERROR(__xludf.DUMMYFUNCTION("IMPORTRANGE(""https://docs.google.com/spreadsheets/d/11923uPwbBZFjjGgGUA6NLw09EwE0CqkOc4q9oUmW1yo/edit?usp=sharing"",""อุทัยธานี!J60"")"),0)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IFERROR(__xludf.DUMMYFUNCTION("IMPORTRANGE(""https://docs.google.com/spreadsheets/d/11923uPwbBZFjjGgGUA6NLw09EwE0CqkOc4q9oUmW1yo/edit?usp=sharing"",""อุทัยธานี!J61"")"),0)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IFERROR(__xludf.DUMMYFUNCTION("IMPORTRANGE(""https://docs.google.com/spreadsheets/d/11923uPwbBZFjjGgGUA6NLw09EwE0CqkOc4q9oUmW1yo/edit?usp=sharing"",""อุทัยธานี!I62"")"),0)</f>
        <v>0</v>
      </c>
      <c r="J132" s="213">
        <f ca="1">IFERROR(__xludf.DUMMYFUNCTION("IMPORTRANGE(""https://docs.google.com/spreadsheets/d/11923uPwbBZFjjGgGUA6NLw09EwE0CqkOc4q9oUmW1yo/edit?usp=sharing"",""อุทัยธานี!J62"")"),0)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IFERROR(__xludf.DUMMYFUNCTION("IMPORTRANGE(""https://docs.google.com/spreadsheets/d/11923uPwbBZFjjGgGUA6NLw09EwE0CqkOc4q9oUmW1yo/edit?usp=sharing"",""อุทัยธานี!I63"")"),0)</f>
        <v>0</v>
      </c>
      <c r="J133" s="213">
        <f ca="1">IFERROR(__xludf.DUMMYFUNCTION("IMPORTRANGE(""https://docs.google.com/spreadsheets/d/11923uPwbBZFjjGgGUA6NLw09EwE0CqkOc4q9oUmW1yo/edit?usp=sharing"",""อุทัยธานี!J63"")"),0)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IFERROR(__xludf.DUMMYFUNCTION("IMPORTRANGE(""https://docs.google.com/spreadsheets/d/11923uPwbBZFjjGgGUA6NLw09EwE0CqkOc4q9oUmW1yo/edit?usp=sharing"",""อุทัยธานี!J64"")"),0)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IFERROR(__xludf.DUMMYFUNCTION("IMPORTRANGE(""https://docs.google.com/spreadsheets/d/11923uPwbBZFjjGgGUA6NLw09EwE0CqkOc4q9oUmW1yo/edit?usp=sharing"",""อุทัยธานี!J65"")"),0)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IFERROR(__xludf.DUMMYFUNCTION("IMPORTRANGE(""https://docs.google.com/spreadsheets/d/11923uPwbBZFjjGgGUA6NLw09EwE0CqkOc4q9oUmW1yo/edit?usp=sharing"",""อุทัยธานี!I68"")"),0)</f>
        <v>0</v>
      </c>
      <c r="J138" s="276">
        <f ca="1">IFERROR(__xludf.DUMMYFUNCTION("IMPORTRANGE(""https://docs.google.com/spreadsheets/d/11923uPwbBZFjjGgGUA6NLw09EwE0CqkOc4q9oUmW1yo/edit?usp=sharing"",""อุทัยธานี!J68"")"),0)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83500</v>
      </c>
      <c r="M140" s="158">
        <f t="shared" ca="1" si="64"/>
        <v>45750</v>
      </c>
      <c r="N140" s="158">
        <f t="shared" ca="1" si="64"/>
        <v>22450</v>
      </c>
      <c r="O140" s="157">
        <f t="shared" ref="O140:O142" ca="1" si="65">IF(L140&gt;0,N140*100/L140,0)</f>
        <v>26.886227544910181</v>
      </c>
      <c r="P140" s="157">
        <f t="shared" ref="P140:P142" ca="1" si="66">IF(M140&gt;0,N140*100/M140,0)</f>
        <v>49.071038251366119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83500</v>
      </c>
      <c r="M142" s="163">
        <f t="shared" ca="1" si="68"/>
        <v>45750</v>
      </c>
      <c r="N142" s="163">
        <f t="shared" ca="1" si="68"/>
        <v>22450</v>
      </c>
      <c r="O142" s="162">
        <f t="shared" ca="1" si="65"/>
        <v>26.886227544910181</v>
      </c>
      <c r="P142" s="162">
        <f t="shared" ca="1" si="66"/>
        <v>49.071038251366119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83500</v>
      </c>
      <c r="M144" s="176">
        <f ca="1">IFERROR(__xludf.DUMMYFUNCTION("IMPORTRANGE(""https://docs.google.com/spreadsheets/d/1Yj_ptqi66GCucihVvJfMjLAmec39IyEx_6qawtMGysU/edit?usp=sharing"",""สบก!BJ36"")"),45750)</f>
        <v>45750</v>
      </c>
      <c r="N144" s="177">
        <f ca="1">IFERROR(__xludf.DUMMYFUNCTION("IMPORTRANGE(""https://docs.google.com/spreadsheets/d/1Yj_ptqi66GCucihVvJfMjLAmec39IyEx_6qawtMGysU/edit?usp=sharing"",""สบก!BK36"")"),22450)</f>
        <v>22450</v>
      </c>
      <c r="O144" s="178">
        <f ca="1">IF(L144&gt;0,N144*100/L144,0)</f>
        <v>26.886227544910181</v>
      </c>
      <c r="P144" s="178">
        <f ca="1">IF(M144&gt;0,N144*100/M144,0)</f>
        <v>49.071038251366119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IFERROR(__xludf.DUMMYFUNCTION("IMPORTRANGE(""https://docs.google.com/spreadsheets/d/1Yj_ptqi66GCucihVvJfMjLAmec39IyEx_6qawtMGysU/edit?usp=sharing"",""สบก!BF36"")"),0)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IFERROR(__xludf.DUMMYFUNCTION("IMPORTRANGE(""https://docs.google.com/spreadsheets/d/1Yj_ptqi66GCucihVvJfMjLAmec39IyEx_6qawtMGysU/edit?usp=sharing"",""สบก!BG36"")"),83500)</f>
        <v>83500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IFERROR(__xludf.DUMMYFUNCTION("IMPORTRANGE(""https://docs.google.com/spreadsheets/d/1Yj_ptqi66GCucihVvJfMjLAmec39IyEx_6qawtMGysU/edit?usp=sharing"",""สบก!BH36"")"),0)</f>
        <v>0</v>
      </c>
      <c r="M148" s="103"/>
      <c r="N148" s="93">
        <f ca="1">IFERROR(__xludf.DUMMYFUNCTION("IMPORTRANGE(""https://docs.google.com/spreadsheets/d/1Yj_ptqi66GCucihVvJfMjLAmec39IyEx_6qawtMGysU/edit?usp=sharing"",""สบก!BL36"")"),0)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IFERROR(__xludf.DUMMYFUNCTION("IMPORTRANGE(""https://docs.google.com/spreadsheets/d/11923uPwbBZFjjGgGUA6NLw09EwE0CqkOc4q9oUmW1yo/edit?usp=sharing"",""อุทัยธานี!I74"")"),4)</f>
        <v>4</v>
      </c>
      <c r="J149" s="284">
        <f ca="1">IFERROR(__xludf.DUMMYFUNCTION("IMPORTRANGE(""https://docs.google.com/spreadsheets/d/11923uPwbBZFjjGgGUA6NLw09EwE0CqkOc4q9oUmW1yo/edit?usp=sharing"",""อุทัยธานี!J74"")"),1)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IFERROR(__xludf.DUMMYFUNCTION("IMPORTRANGE(""https://docs.google.com/spreadsheets/d/11923uPwbBZFjjGgGUA6NLw09EwE0CqkOc4q9oUmW1yo/edit?usp=sharing"",""อุทัยธานี!J79"")"),0)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IFERROR(__xludf.DUMMYFUNCTION("IMPORTRANGE(""https://docs.google.com/spreadsheets/d/11923uPwbBZFjjGgGUA6NLw09EwE0CqkOc4q9oUmW1yo/edit?usp=sharing"",""อุทัยธานี!J80"")"),1)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IFERROR(__xludf.DUMMYFUNCTION("IMPORTRANGE(""https://docs.google.com/spreadsheets/d/11923uPwbBZFjjGgGUA6NLw09EwE0CqkOc4q9oUmW1yo/edit?usp=sharing"",""อุทัยธานี!J81"")"),0)</f>
        <v>0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IFERROR(__xludf.DUMMYFUNCTION("IMPORTRANGE(""https://docs.google.com/spreadsheets/d/11923uPwbBZFjjGgGUA6NLw09EwE0CqkOc4q9oUmW1yo/edit?usp=sharing"",""อุทัยธานี!J82"")"),0)</f>
        <v>0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IFERROR(__xludf.DUMMYFUNCTION("IMPORTRANGE(""https://docs.google.com/spreadsheets/d/11923uPwbBZFjjGgGUA6NLw09EwE0CqkOc4q9oUmW1yo/edit?usp=sharing"",""อุทัยธานี!I83"")"),4)</f>
        <v>4</v>
      </c>
      <c r="J158" s="198">
        <f ca="1">IFERROR(__xludf.DUMMYFUNCTION("IMPORTRANGE(""https://docs.google.com/spreadsheets/d/11923uPwbBZFjjGgGUA6NLw09EwE0CqkOc4q9oUmW1yo/edit?usp=sharing"",""อุทัยธานี!J83"")"),1)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IFERROR(__xludf.DUMMYFUNCTION("IMPORTRANGE(""https://docs.google.com/spreadsheets/d/11923uPwbBZFjjGgGUA6NLw09EwE0CqkOc4q9oUmW1yo/edit?usp=sharing"",""อุทัยธานี!J84"")"),10)</f>
        <v>10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IFERROR(__xludf.DUMMYFUNCTION("IMPORTRANGE(""https://docs.google.com/spreadsheets/d/11923uPwbBZFjjGgGUA6NLw09EwE0CqkOc4q9oUmW1yo/edit?usp=sharing"",""อุทัยธานี!J85"")"),10)</f>
        <v>10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IFERROR(__xludf.DUMMYFUNCTION("IMPORTRANGE(""https://docs.google.com/spreadsheets/d/11923uPwbBZFjjGgGUA6NLw09EwE0CqkOc4q9oUmW1yo/edit?usp=sharing"",""อุทัยธานี!J86"")"),0)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IFERROR(__xludf.DUMMYFUNCTION("IMPORTRANGE(""https://docs.google.com/spreadsheets/d/11923uPwbBZFjjGgGUA6NLw09EwE0CqkOc4q9oUmW1yo/edit?usp=sharing"",""อุทัยธานี!J87"")"),0)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IFERROR(__xludf.DUMMYFUNCTION("IMPORTRANGE(""https://docs.google.com/spreadsheets/d/11923uPwbBZFjjGgGUA6NLw09EwE0CqkOc4q9oUmW1yo/edit?usp=sharing"",""อุทัยธานี!J88"")"),0)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IFERROR(__xludf.DUMMYFUNCTION("IMPORTRANGE(""https://docs.google.com/spreadsheets/d/11923uPwbBZFjjGgGUA6NLw09EwE0CqkOc4q9oUmW1yo/edit?usp=sharing"",""อุทัยธานี!I89"")"),3)</f>
        <v>3</v>
      </c>
      <c r="J164" s="292">
        <f ca="1">IFERROR(__xludf.DUMMYFUNCTION("IMPORTRANGE(""https://docs.google.com/spreadsheets/d/11923uPwbBZFjjGgGUA6NLw09EwE0CqkOc4q9oUmW1yo/edit?usp=sharing"",""อุทัยธานี!J89"")"),0)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IFERROR(__xludf.DUMMYFUNCTION("IMPORTRANGE(""https://docs.google.com/spreadsheets/d/11923uPwbBZFjjGgGUA6NLw09EwE0CqkOc4q9oUmW1yo/edit?usp=sharing"",""อุทัยธานี!J94"")"),0)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IFERROR(__xludf.DUMMYFUNCTION("IMPORTRANGE(""https://docs.google.com/spreadsheets/d/11923uPwbBZFjjGgGUA6NLw09EwE0CqkOc4q9oUmW1yo/edit?usp=sharing"",""อุทัยธานี!J95"")"),1)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IFERROR(__xludf.DUMMYFUNCTION("IMPORTRANGE(""https://docs.google.com/spreadsheets/d/11923uPwbBZFjjGgGUA6NLw09EwE0CqkOc4q9oUmW1yo/edit?usp=sharing"",""อุทัยธานี!J96"")"),0)</f>
        <v>0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IFERROR(__xludf.DUMMYFUNCTION("IMPORTRANGE(""https://docs.google.com/spreadsheets/d/11923uPwbBZFjjGgGUA6NLw09EwE0CqkOc4q9oUmW1yo/edit?usp=sharing"",""อุทัยธานี!J97"")"),0)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IFERROR(__xludf.DUMMYFUNCTION("IMPORTRANGE(""https://docs.google.com/spreadsheets/d/11923uPwbBZFjjGgGUA6NLw09EwE0CqkOc4q9oUmW1yo/edit?usp=sharing"",""อุทัยธานี!I98"")"),3)</f>
        <v>3</v>
      </c>
      <c r="J173" s="198">
        <f ca="1">IFERROR(__xludf.DUMMYFUNCTION("IMPORTRANGE(""https://docs.google.com/spreadsheets/d/11923uPwbBZFjjGgGUA6NLw09EwE0CqkOc4q9oUmW1yo/edit?usp=sharing"",""อุทัยธานี!J98"")"),0)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IFERROR(__xludf.DUMMYFUNCTION("IMPORTRANGE(""https://docs.google.com/spreadsheets/d/11923uPwbBZFjjGgGUA6NLw09EwE0CqkOc4q9oUmW1yo/edit?usp=sharing"",""อุทัยธานี!J99"")"),0)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IFERROR(__xludf.DUMMYFUNCTION("IMPORTRANGE(""https://docs.google.com/spreadsheets/d/11923uPwbBZFjjGgGUA6NLw09EwE0CqkOc4q9oUmW1yo/edit?usp=sharing"",""อุทัยธานี!J100"")"),0)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IFERROR(__xludf.DUMMYFUNCTION("IMPORTRANGE(""https://docs.google.com/spreadsheets/d/11923uPwbBZFjjGgGUA6NLw09EwE0CqkOc4q9oUmW1yo/edit?usp=sharing"",""อุทัยธานี!I101"")"),0)</f>
        <v>0</v>
      </c>
      <c r="J176" s="292">
        <f ca="1">IFERROR(__xludf.DUMMYFUNCTION("IMPORTRANGE(""https://docs.google.com/spreadsheets/d/11923uPwbBZFjjGgGUA6NLw09EwE0CqkOc4q9oUmW1yo/edit?usp=sharing"",""อุทัยธานี!J101"")"),0)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IFERROR(__xludf.DUMMYFUNCTION("IMPORTRANGE(""https://docs.google.com/spreadsheets/d/11923uPwbBZFjjGgGUA6NLw09EwE0CqkOc4q9oUmW1yo/edit?usp=sharing"",""อุทัยธานี!J106"")"),0)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IFERROR(__xludf.DUMMYFUNCTION("IMPORTRANGE(""https://docs.google.com/spreadsheets/d/11923uPwbBZFjjGgGUA6NLw09EwE0CqkOc4q9oUmW1yo/edit?usp=sharing"",""อุทัยธานี!J107"")"),0)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IFERROR(__xludf.DUMMYFUNCTION("IMPORTRANGE(""https://docs.google.com/spreadsheets/d/11923uPwbBZFjjGgGUA6NLw09EwE0CqkOc4q9oUmW1yo/edit?usp=sharing"",""อุทัยธานี!J108"")"),0)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IFERROR(__xludf.DUMMYFUNCTION("IMPORTRANGE(""https://docs.google.com/spreadsheets/d/11923uPwbBZFjjGgGUA6NLw09EwE0CqkOc4q9oUmW1yo/edit?usp=sharing"",""อุทัยธานี!J109"")"),0)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IFERROR(__xludf.DUMMYFUNCTION("IMPORTRANGE(""https://docs.google.com/spreadsheets/d/11923uPwbBZFjjGgGUA6NLw09EwE0CqkOc4q9oUmW1yo/edit?usp=sharing"",""อุทัยธานี!I110"")"),0)</f>
        <v>0</v>
      </c>
      <c r="J185" s="213">
        <f ca="1">IFERROR(__xludf.DUMMYFUNCTION("IMPORTRANGE(""https://docs.google.com/spreadsheets/d/11923uPwbBZFjjGgGUA6NLw09EwE0CqkOc4q9oUmW1yo/edit?usp=sharing"",""อุทัยธานี!J110"")"),0)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IFERROR(__xludf.DUMMYFUNCTION("IMPORTRANGE(""https://docs.google.com/spreadsheets/d/11923uPwbBZFjjGgGUA6NLw09EwE0CqkOc4q9oUmW1yo/edit?usp=sharing"",""อุทัยธานี!I111"")"),0)</f>
        <v>0</v>
      </c>
      <c r="J186" s="213">
        <f ca="1">IFERROR(__xludf.DUMMYFUNCTION("IMPORTRANGE(""https://docs.google.com/spreadsheets/d/11923uPwbBZFjjGgGUA6NLw09EwE0CqkOc4q9oUmW1yo/edit?usp=sharing"",""อุทัยธานี!J111"")"),0)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IFERROR(__xludf.DUMMYFUNCTION("IMPORTRANGE(""https://docs.google.com/spreadsheets/d/11923uPwbBZFjjGgGUA6NLw09EwE0CqkOc4q9oUmW1yo/edit?usp=sharing"",""อุทัยธานี!J112"")"),0)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IFERROR(__xludf.DUMMYFUNCTION("IMPORTRANGE(""https://docs.google.com/spreadsheets/d/11923uPwbBZFjjGgGUA6NLw09EwE0CqkOc4q9oUmW1yo/edit?usp=sharing"",""อุทัยธานี!J113"")"),0)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IFERROR(__xludf.DUMMYFUNCTION("IMPORTRANGE(""https://docs.google.com/spreadsheets/d/11923uPwbBZFjjGgGUA6NLw09EwE0CqkOc4q9oUmW1yo/edit?usp=sharing"",""อุทัยธานี!I114"")"),100000)</f>
        <v>100000</v>
      </c>
      <c r="J189" s="292">
        <f ca="1">IFERROR(__xludf.DUMMYFUNCTION("IMPORTRANGE(""https://docs.google.com/spreadsheets/d/11923uPwbBZFjjGgGUA6NLw09EwE0CqkOc4q9oUmW1yo/edit?usp=sharing"",""อุทัยธานี!J114"")"),0)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IFERROR(__xludf.DUMMYFUNCTION("IMPORTRANGE(""https://docs.google.com/spreadsheets/d/11923uPwbBZFjjGgGUA6NLw09EwE0CqkOc4q9oUmW1yo/edit?usp=sharing"",""อุทัยธานี!J119"")"),0)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IFERROR(__xludf.DUMMYFUNCTION("IMPORTRANGE(""https://docs.google.com/spreadsheets/d/11923uPwbBZFjjGgGUA6NLw09EwE0CqkOc4q9oUmW1yo/edit?usp=sharing"",""อุทัยธานี!J120"")"),1)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IFERROR(__xludf.DUMMYFUNCTION("IMPORTRANGE(""https://docs.google.com/spreadsheets/d/11923uPwbBZFjjGgGUA6NLw09EwE0CqkOc4q9oUmW1yo/edit?usp=sharing"",""อุทัยธานี!J121"")"),0)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IFERROR(__xludf.DUMMYFUNCTION("IMPORTRANGE(""https://docs.google.com/spreadsheets/d/11923uPwbBZFjjGgGUA6NLw09EwE0CqkOc4q9oUmW1yo/edit?usp=sharing"",""อุทัยธานี!J122"")"),0)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IFERROR(__xludf.DUMMYFUNCTION("IMPORTRANGE(""https://docs.google.com/spreadsheets/d/11923uPwbBZFjjGgGUA6NLw09EwE0CqkOc4q9oUmW1yo/edit?usp=sharing"",""อุทัยธานี!I124"")"),100000)</f>
        <v>100000</v>
      </c>
      <c r="J199" s="198">
        <f ca="1">IFERROR(__xludf.DUMMYFUNCTION("IMPORTRANGE(""https://docs.google.com/spreadsheets/d/11923uPwbBZFjjGgGUA6NLw09EwE0CqkOc4q9oUmW1yo/edit?usp=sharing"",""อุทัยธานี!J124"")"),0)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IFERROR(__xludf.DUMMYFUNCTION("IMPORTRANGE(""https://docs.google.com/spreadsheets/d/11923uPwbBZFjjGgGUA6NLw09EwE0CqkOc4q9oUmW1yo/edit?usp=sharing"",""อุทัยธานี!I125"")"),100000)</f>
        <v>100000</v>
      </c>
      <c r="J200" s="198">
        <f ca="1">IFERROR(__xludf.DUMMYFUNCTION("IMPORTRANGE(""https://docs.google.com/spreadsheets/d/11923uPwbBZFjjGgGUA6NLw09EwE0CqkOc4q9oUmW1yo/edit?usp=sharing"",""อุทัยธานี!J125"")"),0)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IFERROR(__xludf.DUMMYFUNCTION("IMPORTRANGE(""https://docs.google.com/spreadsheets/d/11923uPwbBZFjjGgGUA6NLw09EwE0CqkOc4q9oUmW1yo/edit?usp=sharing"",""อุทัยธานี!I126"")"),0)</f>
        <v>0</v>
      </c>
      <c r="J201" s="198">
        <f ca="1">IFERROR(__xludf.DUMMYFUNCTION("IMPORTRANGE(""https://docs.google.com/spreadsheets/d/11923uPwbBZFjjGgGUA6NLw09EwE0CqkOc4q9oUmW1yo/edit?usp=sharing"",""อุทัยธานี!J126"")"),0)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IFERROR(__xludf.DUMMYFUNCTION("IMPORTRANGE(""https://docs.google.com/spreadsheets/d/11923uPwbBZFjjGgGUA6NLw09EwE0CqkOc4q9oUmW1yo/edit?usp=sharing"",""อุทัยธานี!J127"")"),0)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IFERROR(__xludf.DUMMYFUNCTION("IMPORTRANGE(""https://docs.google.com/spreadsheets/d/11923uPwbBZFjjGgGUA6NLw09EwE0CqkOc4q9oUmW1yo/edit?usp=sharing"",""อุทัยธานี!J128"")"),0)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IFERROR(__xludf.DUMMYFUNCTION("IMPORTRANGE(""https://docs.google.com/spreadsheets/d/11923uPwbBZFjjGgGUA6NLw09EwE0CqkOc4q9oUmW1yo/edit?usp=sharing"",""อุทัยธานี!I129"")"),0)</f>
        <v>0</v>
      </c>
      <c r="J204" s="292">
        <f ca="1">IFERROR(__xludf.DUMMYFUNCTION("IMPORTRANGE(""https://docs.google.com/spreadsheets/d/11923uPwbBZFjjGgGUA6NLw09EwE0CqkOc4q9oUmW1yo/edit?usp=sharing"",""อุทัยธานี!J129"")"),0)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IFERROR(__xludf.DUMMYFUNCTION("IMPORTRANGE(""https://docs.google.com/spreadsheets/d/11923uPwbBZFjjGgGUA6NLw09EwE0CqkOc4q9oUmW1yo/edit?usp=sharing"",""อุทัยธานี!J134"")"),0)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IFERROR(__xludf.DUMMYFUNCTION("IMPORTRANGE(""https://docs.google.com/spreadsheets/d/11923uPwbBZFjjGgGUA6NLw09EwE0CqkOc4q9oUmW1yo/edit?usp=sharing"",""อุทัยธานี!J135"")"),0)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IFERROR(__xludf.DUMMYFUNCTION("IMPORTRANGE(""https://docs.google.com/spreadsheets/d/11923uPwbBZFjjGgGUA6NLw09EwE0CqkOc4q9oUmW1yo/edit?usp=sharing"",""อุทัยธานี!J136"")"),0)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IFERROR(__xludf.DUMMYFUNCTION("IMPORTRANGE(""https://docs.google.com/spreadsheets/d/11923uPwbBZFjjGgGUA6NLw09EwE0CqkOc4q9oUmW1yo/edit?usp=sharing"",""อุทัยธานี!J137"")"),0)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IFERROR(__xludf.DUMMYFUNCTION("IMPORTRANGE(""https://docs.google.com/spreadsheets/d/11923uPwbBZFjjGgGUA6NLw09EwE0CqkOc4q9oUmW1yo/edit?usp=sharing"",""อุทัยธานี!I138"")"),0)</f>
        <v>0</v>
      </c>
      <c r="J213" s="213">
        <f ca="1">IFERROR(__xludf.DUMMYFUNCTION("IMPORTRANGE(""https://docs.google.com/spreadsheets/d/11923uPwbBZFjjGgGUA6NLw09EwE0CqkOc4q9oUmW1yo/edit?usp=sharing"",""อุทัยธานี!J138"")"),0)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IFERROR(__xludf.DUMMYFUNCTION("IMPORTRANGE(""https://docs.google.com/spreadsheets/d/11923uPwbBZFjjGgGUA6NLw09EwE0CqkOc4q9oUmW1yo/edit?usp=sharing"",""อุทัยธานี!I140"")"),0)</f>
        <v>0</v>
      </c>
      <c r="J215" s="213">
        <f ca="1">IFERROR(__xludf.DUMMYFUNCTION("IMPORTRANGE(""https://docs.google.com/spreadsheets/d/11923uPwbBZFjjGgGUA6NLw09EwE0CqkOc4q9oUmW1yo/edit?usp=sharing"",""อุทัยธานี!J140"")"),0)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IFERROR(__xludf.DUMMYFUNCTION("IMPORTRANGE(""https://docs.google.com/spreadsheets/d/11923uPwbBZFjjGgGUA6NLw09EwE0CqkOc4q9oUmW1yo/edit?usp=sharing"",""อุทัยธานี!I141"")"),0)</f>
        <v>0</v>
      </c>
      <c r="J216" s="213">
        <f ca="1">IFERROR(__xludf.DUMMYFUNCTION("IMPORTRANGE(""https://docs.google.com/spreadsheets/d/11923uPwbBZFjjGgGUA6NLw09EwE0CqkOc4q9oUmW1yo/edit?usp=sharing"",""อุทัยธานี!J141"")"),0)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IFERROR(__xludf.DUMMYFUNCTION("IMPORTRANGE(""https://docs.google.com/spreadsheets/d/11923uPwbBZFjjGgGUA6NLw09EwE0CqkOc4q9oUmW1yo/edit?usp=sharing"",""อุทัยธานี!J142"")"),0)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IFERROR(__xludf.DUMMYFUNCTION("IMPORTRANGE(""https://docs.google.com/spreadsheets/d/11923uPwbBZFjjGgGUA6NLw09EwE0CqkOc4q9oUmW1yo/edit?usp=sharing"",""อุทัยธานี!J143"")"),0)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IFERROR(__xludf.DUMMYFUNCTION("IMPORTRANGE(""https://docs.google.com/spreadsheets/d/11923uPwbBZFjjGgGUA6NLw09EwE0CqkOc4q9oUmW1yo/edit?usp=sharing"",""อุทัยธานี!I144"")"),15)</f>
        <v>15</v>
      </c>
      <c r="J219" s="276">
        <f ca="1">IFERROR(__xludf.DUMMYFUNCTION("IMPORTRANGE(""https://docs.google.com/spreadsheets/d/11923uPwbBZFjjGgGUA6NLw09EwE0CqkOc4q9oUmW1yo/edit?usp=sharing"",""อุทัยธานี!J144"")"),15)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20505</v>
      </c>
      <c r="O220" s="157">
        <f t="shared" ref="O220:O222" ca="1" si="73">IF(L220&gt;0,N220*100/L220,0)</f>
        <v>97.065088757396452</v>
      </c>
      <c r="P220" s="157">
        <f t="shared" ref="P220:P222" ca="1" si="74">IF(M220&gt;0,N220*100/M220,0)</f>
        <v>97.065088757396452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20505</v>
      </c>
      <c r="O222" s="162">
        <f t="shared" ca="1" si="73"/>
        <v>97.065088757396452</v>
      </c>
      <c r="P222" s="162">
        <f t="shared" ca="1" si="74"/>
        <v>97.065088757396452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IFERROR(__xludf.DUMMYFUNCTION("IMPORTRANGE(""https://docs.google.com/spreadsheets/d/1Yj_ptqi66GCucihVvJfMjLAmec39IyEx_6qawtMGysU/edit?usp=sharing"",""สบก!BS36"")"),21125)</f>
        <v>21125</v>
      </c>
      <c r="N224" s="177">
        <f ca="1">IFERROR(__xludf.DUMMYFUNCTION("IMPORTRANGE(""https://docs.google.com/spreadsheets/d/1Yj_ptqi66GCucihVvJfMjLAmec39IyEx_6qawtMGysU/edit?usp=sharing"",""สบก!BT36"")"),20505)</f>
        <v>20505</v>
      </c>
      <c r="O224" s="178">
        <f ca="1">IF(L224&gt;0,N224*100/L224,0)</f>
        <v>97.065088757396452</v>
      </c>
      <c r="P224" s="178">
        <f ca="1">IF(M224&gt;0,N224*100/M224,0)</f>
        <v>97.065088757396452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IFERROR(__xludf.DUMMYFUNCTION("IMPORTRANGE(""https://docs.google.com/spreadsheets/d/1Yj_ptqi66GCucihVvJfMjLAmec39IyEx_6qawtMGysU/edit?usp=sharing"",""สบก!BO36"")"),0)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IFERROR(__xludf.DUMMYFUNCTION("IMPORTRANGE(""https://docs.google.com/spreadsheets/d/1Yj_ptqi66GCucihVvJfMjLAmec39IyEx_6qawtMGysU/edit?usp=sharing"",""สบก!BP36"")"),21125)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IFERROR(__xludf.DUMMYFUNCTION("IMPORTRANGE(""https://docs.google.com/spreadsheets/d/1Yj_ptqi66GCucihVvJfMjLAmec39IyEx_6qawtMGysU/edit?usp=sharing"",""สบก!BQ36"")"),0)</f>
        <v>0</v>
      </c>
      <c r="M228" s="103"/>
      <c r="N228" s="93">
        <f ca="1">IFERROR(__xludf.DUMMYFUNCTION("IMPORTRANGE(""https://docs.google.com/spreadsheets/d/1Yj_ptqi66GCucihVvJfMjLAmec39IyEx_6qawtMGysU/edit?usp=sharing"",""สบก!BU36"")"),0)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IFERROR(__xludf.DUMMYFUNCTION("IMPORTRANGE(""https://docs.google.com/spreadsheets/d/11923uPwbBZFjjGgGUA6NLw09EwE0CqkOc4q9oUmW1yo/edit?usp=sharing"",""อุทัยธานี!I149"")"),15)</f>
        <v>15</v>
      </c>
      <c r="J229" s="276">
        <f ca="1">IFERROR(__xludf.DUMMYFUNCTION("IMPORTRANGE(""https://docs.google.com/spreadsheets/d/11923uPwbBZFjjGgGUA6NLw09EwE0CqkOc4q9oUmW1yo/edit?usp=sharing"",""อุทัยธานี!J149"")"),15)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IFERROR(__xludf.DUMMYFUNCTION("IMPORTRANGE(""https://docs.google.com/spreadsheets/d/11923uPwbBZFjjGgGUA6NLw09EwE0CqkOc4q9oUmW1yo/edit?usp=sharing"",""อุทัยธานี!J151"")"),0)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IFERROR(__xludf.DUMMYFUNCTION("IMPORTRANGE(""https://docs.google.com/spreadsheets/d/11923uPwbBZFjjGgGUA6NLw09EwE0CqkOc4q9oUmW1yo/edit?usp=sharing"",""อุทัยธานี!J152"")"),1)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IFERROR(__xludf.DUMMYFUNCTION("IMPORTRANGE(""https://docs.google.com/spreadsheets/d/11923uPwbBZFjjGgGUA6NLw09EwE0CqkOc4q9oUmW1yo/edit?usp=sharing"",""อุทัยธานี!J153"")"),1)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IFERROR(__xludf.DUMMYFUNCTION("IMPORTRANGE(""https://docs.google.com/spreadsheets/d/11923uPwbBZFjjGgGUA6NLw09EwE0CqkOc4q9oUmW1yo/edit?usp=sharing"",""อุทัยธานี!J154"")"),1)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IFERROR(__xludf.DUMMYFUNCTION("IMPORTRANGE(""https://docs.google.com/spreadsheets/d/11923uPwbBZFjjGgGUA6NLw09EwE0CqkOc4q9oUmW1yo/edit?usp=sharing"",""อุทัยธานี!I155"")"),15)</f>
        <v>15</v>
      </c>
      <c r="J235" s="198">
        <f ca="1">IFERROR(__xludf.DUMMYFUNCTION("IMPORTRANGE(""https://docs.google.com/spreadsheets/d/11923uPwbBZFjjGgGUA6NLw09EwE0CqkOc4q9oUmW1yo/edit?usp=sharing"",""อุทัยธานี!J155"")"),15)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IFERROR(__xludf.DUMMYFUNCTION("IMPORTRANGE(""https://docs.google.com/spreadsheets/d/11923uPwbBZFjjGgGUA6NLw09EwE0CqkOc4q9oUmW1yo/edit?usp=sharing"",""อุทัยธานี!J156"")"),0)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IFERROR(__xludf.DUMMYFUNCTION("IMPORTRANGE(""https://docs.google.com/spreadsheets/d/11923uPwbBZFjjGgGUA6NLw09EwE0CqkOc4q9oUmW1yo/edit?usp=sharing"",""อุทัยธานี!J157"")"),0)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IFERROR(__xludf.DUMMYFUNCTION("IMPORTRANGE(""https://docs.google.com/spreadsheets/d/11923uPwbBZFjjGgGUA6NLw09EwE0CqkOc4q9oUmW1yo/edit?usp=sharing"",""อุทัยธานี!I158"")"),0)</f>
        <v>0</v>
      </c>
      <c r="J238" s="276">
        <f ca="1">IFERROR(__xludf.DUMMYFUNCTION("IMPORTRANGE(""https://docs.google.com/spreadsheets/d/11923uPwbBZFjjGgGUA6NLw09EwE0CqkOc4q9oUmW1yo/edit?usp=sharing"",""อุทัยธานี!J158"")"),0)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IFERROR(__xludf.DUMMYFUNCTION("IMPORTRANGE(""https://docs.google.com/spreadsheets/d/11923uPwbBZFjjGgGUA6NLw09EwE0CqkOc4q9oUmW1yo/edit?usp=sharing"",""อุทัยธานี!J159"")"),"")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IFERROR(__xludf.DUMMYFUNCTION("IMPORTRANGE(""https://docs.google.com/spreadsheets/d/11923uPwbBZFjjGgGUA6NLw09EwE0CqkOc4q9oUmW1yo/edit?usp=sharing"",""อุทัยธานี!J161"")"),0)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IFERROR(__xludf.DUMMYFUNCTION("IMPORTRANGE(""https://docs.google.com/spreadsheets/d/11923uPwbBZFjjGgGUA6NLw09EwE0CqkOc4q9oUmW1yo/edit?usp=sharing"",""อุทัยธานี!J162"")"),0)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IFERROR(__xludf.DUMMYFUNCTION("IMPORTRANGE(""https://docs.google.com/spreadsheets/d/11923uPwbBZFjjGgGUA6NLw09EwE0CqkOc4q9oUmW1yo/edit?usp=sharing"",""อุทัยธานี!J163"")"),0)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IFERROR(__xludf.DUMMYFUNCTION("IMPORTRANGE(""https://docs.google.com/spreadsheets/d/11923uPwbBZFjjGgGUA6NLw09EwE0CqkOc4q9oUmW1yo/edit?usp=sharing"",""อุทัยธานี!I164"")"),0)</f>
        <v>0</v>
      </c>
      <c r="J244" s="197">
        <f ca="1">IFERROR(__xludf.DUMMYFUNCTION("IMPORTRANGE(""https://docs.google.com/spreadsheets/d/11923uPwbBZFjjGgGUA6NLw09EwE0CqkOc4q9oUmW1yo/edit?usp=sharing"",""อุทัยธานี!J164"")"),0)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IFERROR(__xludf.DUMMYFUNCTION("IMPORTRANGE(""https://docs.google.com/spreadsheets/d/11923uPwbBZFjjGgGUA6NLw09EwE0CqkOc4q9oUmW1yo/edit?usp=sharing"",""อุทัยธานี!J165"")"),0)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IFERROR(__xludf.DUMMYFUNCTION("IMPORTRANGE(""https://docs.google.com/spreadsheets/d/11923uPwbBZFjjGgGUA6NLw09EwE0CqkOc4q9oUmW1yo/edit?usp=sharing"",""อุทัยธานี!J166"")"),0)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IFERROR(__xludf.DUMMYFUNCTION("IMPORTRANGE(""https://docs.google.com/spreadsheets/d/11923uPwbBZFjjGgGUA6NLw09EwE0CqkOc4q9oUmW1yo/edit?usp=sharing"",""อุทัยธานี!I169"")"),20)</f>
        <v>20</v>
      </c>
      <c r="J249" s="324">
        <f ca="1">IFERROR(__xludf.DUMMYFUNCTION("IMPORTRANGE(""https://docs.google.com/spreadsheets/d/11923uPwbBZFjjGgGUA6NLw09EwE0CqkOc4q9oUmW1yo/edit?usp=sharing"",""อุทัยธานี!J169"")"),0)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203400</v>
      </c>
      <c r="M250" s="158">
        <f t="shared" ca="1" si="77"/>
        <v>103000</v>
      </c>
      <c r="N250" s="158">
        <f t="shared" ca="1" si="77"/>
        <v>44453</v>
      </c>
      <c r="O250" s="157">
        <f t="shared" ref="O250:O252" ca="1" si="78">IF(L250&gt;0,N250*100/L250,0)</f>
        <v>21.854965585054082</v>
      </c>
      <c r="P250" s="157">
        <f t="shared" ref="P250:P252" ca="1" si="79">IF(M250&gt;0,N250*100/M250,0)</f>
        <v>43.158252427184465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203400</v>
      </c>
      <c r="M252" s="163">
        <f t="shared" ca="1" si="81"/>
        <v>103000</v>
      </c>
      <c r="N252" s="163">
        <f t="shared" ca="1" si="81"/>
        <v>44453</v>
      </c>
      <c r="O252" s="162">
        <f t="shared" ca="1" si="78"/>
        <v>21.854965585054082</v>
      </c>
      <c r="P252" s="162">
        <f t="shared" ca="1" si="79"/>
        <v>43.158252427184465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203400</v>
      </c>
      <c r="M254" s="176">
        <f ca="1">IFERROR(__xludf.DUMMYFUNCTION("IMPORTRANGE(""https://docs.google.com/spreadsheets/d/1Yj_ptqi66GCucihVvJfMjLAmec39IyEx_6qawtMGysU/edit?usp=sharing"",""สบก!CB36"")"),103000)</f>
        <v>103000</v>
      </c>
      <c r="N254" s="177">
        <f ca="1">IFERROR(__xludf.DUMMYFUNCTION("IMPORTRANGE(""https://docs.google.com/spreadsheets/d/1Yj_ptqi66GCucihVvJfMjLAmec39IyEx_6qawtMGysU/edit?usp=sharing"",""สบก!CC36"")"),44453)</f>
        <v>44453</v>
      </c>
      <c r="O254" s="178">
        <f ca="1">IF(L254&gt;0,N254*100/L254,0)</f>
        <v>21.854965585054082</v>
      </c>
      <c r="P254" s="178">
        <f ca="1">IF(M254&gt;0,N254*100/M254,0)</f>
        <v>43.158252427184465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IFERROR(__xludf.DUMMYFUNCTION("IMPORTRANGE(""https://docs.google.com/spreadsheets/d/1Yj_ptqi66GCucihVvJfMjLAmec39IyEx_6qawtMGysU/edit?usp=sharing"",""สบก!BX36"")"),132000)</f>
        <v>132000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IFERROR(__xludf.DUMMYFUNCTION("IMPORTRANGE(""https://docs.google.com/spreadsheets/d/1Yj_ptqi66GCucihVvJfMjLAmec39IyEx_6qawtMGysU/edit?usp=sharing"",""สบก!BY36"")"),71400)</f>
        <v>71400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IFERROR(__xludf.DUMMYFUNCTION("IMPORTRANGE(""https://docs.google.com/spreadsheets/d/1Yj_ptqi66GCucihVvJfMjLAmec39IyEx_6qawtMGysU/edit?usp=sharing"",""สบก!BZ36"")"),0)</f>
        <v>0</v>
      </c>
      <c r="M258" s="103"/>
      <c r="N258" s="93">
        <f ca="1">IFERROR(__xludf.DUMMYFUNCTION("IMPORTRANGE(""https://docs.google.com/spreadsheets/d/1Yj_ptqi66GCucihVvJfMjLAmec39IyEx_6qawtMGysU/edit?usp=sharing"",""สบก!CD36"")"),0)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IFERROR(__xludf.DUMMYFUNCTION("IMPORTRANGE(""https://docs.google.com/spreadsheets/d/11923uPwbBZFjjGgGUA6NLw09EwE0CqkOc4q9oUmW1yo/edit?usp=sharing"",""อุทัยธานี!J175"")"),0)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IFERROR(__xludf.DUMMYFUNCTION("IMPORTRANGE(""https://docs.google.com/spreadsheets/d/11923uPwbBZFjjGgGUA6NLw09EwE0CqkOc4q9oUmW1yo/edit?usp=sharing"",""อุทัยธานี!J176"")"),1)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IFERROR(__xludf.DUMMYFUNCTION("IMPORTRANGE(""https://docs.google.com/spreadsheets/d/11923uPwbBZFjjGgGUA6NLw09EwE0CqkOc4q9oUmW1yo/edit?usp=sharing"",""อุทัยธานี!J177"")"),0)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IFERROR(__xludf.DUMMYFUNCTION("IMPORTRANGE(""https://docs.google.com/spreadsheets/d/11923uPwbBZFjjGgGUA6NLw09EwE0CqkOc4q9oUmW1yo/edit?usp=sharing"",""อุทัยธานี!J178"")"),0)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IFERROR(__xludf.DUMMYFUNCTION("IMPORTRANGE(""https://docs.google.com/spreadsheets/d/11923uPwbBZFjjGgGUA6NLw09EwE0CqkOc4q9oUmW1yo/edit?usp=sharing"",""อุทัยธานี!I179"")"),1)</f>
        <v>1</v>
      </c>
      <c r="J264" s="198">
        <f ca="1">IFERROR(__xludf.DUMMYFUNCTION("IMPORTRANGE(""https://docs.google.com/spreadsheets/d/11923uPwbBZFjjGgGUA6NLw09EwE0CqkOc4q9oUmW1yo/edit?usp=sharing"",""อุทัยธานี!J179"")"),0)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IFERROR(__xludf.DUMMYFUNCTION("IMPORTRANGE(""https://docs.google.com/spreadsheets/d/11923uPwbBZFjjGgGUA6NLw09EwE0CqkOc4q9oUmW1yo/edit?usp=sharing"",""อุทัยธานี!I180"")"),20)</f>
        <v>20</v>
      </c>
      <c r="J265" s="198">
        <f ca="1">IFERROR(__xludf.DUMMYFUNCTION("IMPORTRANGE(""https://docs.google.com/spreadsheets/d/11923uPwbBZFjjGgGUA6NLw09EwE0CqkOc4q9oUmW1yo/edit?usp=sharing"",""อุทัยธานี!J180"")"),0)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IFERROR(__xludf.DUMMYFUNCTION("IMPORTRANGE(""https://docs.google.com/spreadsheets/d/11923uPwbBZFjjGgGUA6NLw09EwE0CqkOc4q9oUmW1yo/edit?usp=sharing"",""อุทัยธานี!I181"")"),20)</f>
        <v>20</v>
      </c>
      <c r="J266" s="198">
        <f ca="1">IFERROR(__xludf.DUMMYFUNCTION("IMPORTRANGE(""https://docs.google.com/spreadsheets/d/11923uPwbBZFjjGgGUA6NLw09EwE0CqkOc4q9oUmW1yo/edit?usp=sharing"",""อุทัยธานี!J181"")"),0)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IFERROR(__xludf.DUMMYFUNCTION("IMPORTRANGE(""https://docs.google.com/spreadsheets/d/11923uPwbBZFjjGgGUA6NLw09EwE0CqkOc4q9oUmW1yo/edit?usp=sharing"",""อุทัยธานี!I182"")"),1)</f>
        <v>1</v>
      </c>
      <c r="J267" s="198">
        <f ca="1">IFERROR(__xludf.DUMMYFUNCTION("IMPORTRANGE(""https://docs.google.com/spreadsheets/d/11923uPwbBZFjjGgGUA6NLw09EwE0CqkOc4q9oUmW1yo/edit?usp=sharing"",""อุทัยธานี!J182"")"),0)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IFERROR(__xludf.DUMMYFUNCTION("IMPORTRANGE(""https://docs.google.com/spreadsheets/d/11923uPwbBZFjjGgGUA6NLw09EwE0CqkOc4q9oUmW1yo/edit?usp=sharing"",""อุทัยธานี!J183"")"),0)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IFERROR(__xludf.DUMMYFUNCTION("IMPORTRANGE(""https://docs.google.com/spreadsheets/d/11923uPwbBZFjjGgGUA6NLw09EwE0CqkOc4q9oUmW1yo/edit?usp=sharing"",""อุทัยธานี!J184"")"),0)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IFERROR(__xludf.DUMMYFUNCTION("IMPORTRANGE(""https://docs.google.com/spreadsheets/d/11923uPwbBZFjjGgGUA6NLw09EwE0CqkOc4q9oUmW1yo/edit?usp=sharing"",""อุทัยธานี!I185"")"),20)</f>
        <v>20</v>
      </c>
      <c r="J270" s="324">
        <f ca="1">IFERROR(__xludf.DUMMYFUNCTION("IMPORTRANGE(""https://docs.google.com/spreadsheets/d/11923uPwbBZFjjGgGUA6NLw09EwE0CqkOc4q9oUmW1yo/edit?usp=sharing"",""อุทัยธานี!J185"")"),20)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183600</v>
      </c>
      <c r="M271" s="158">
        <f t="shared" ca="1" si="83"/>
        <v>93000</v>
      </c>
      <c r="N271" s="158">
        <f t="shared" ca="1" si="83"/>
        <v>100365</v>
      </c>
      <c r="O271" s="157">
        <f t="shared" ref="O271:O273" ca="1" si="84">IF(L271&gt;0,N271*100/L271,0)</f>
        <v>54.665032679738559</v>
      </c>
      <c r="P271" s="157">
        <f t="shared" ref="P271:P273" ca="1" si="85">IF(M271&gt;0,N271*100/M271,0)</f>
        <v>107.91935483870968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183600</v>
      </c>
      <c r="M273" s="163">
        <f t="shared" ca="1" si="87"/>
        <v>93000</v>
      </c>
      <c r="N273" s="163">
        <f t="shared" ca="1" si="87"/>
        <v>100365</v>
      </c>
      <c r="O273" s="162">
        <f t="shared" ca="1" si="84"/>
        <v>54.665032679738559</v>
      </c>
      <c r="P273" s="162">
        <f t="shared" ca="1" si="85"/>
        <v>107.91935483870968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183600</v>
      </c>
      <c r="M275" s="176">
        <f ca="1">IFERROR(__xludf.DUMMYFUNCTION("IMPORTRANGE(""https://docs.google.com/spreadsheets/d/1Yj_ptqi66GCucihVvJfMjLAmec39IyEx_6qawtMGysU/edit?usp=sharing"",""สบก!CK36"")"),93000)</f>
        <v>93000</v>
      </c>
      <c r="N275" s="177">
        <f ca="1">IFERROR(__xludf.DUMMYFUNCTION("IMPORTRANGE(""https://docs.google.com/spreadsheets/d/1Yj_ptqi66GCucihVvJfMjLAmec39IyEx_6qawtMGysU/edit?usp=sharing"",""สบก!CL36"")"),100365)</f>
        <v>100365</v>
      </c>
      <c r="O275" s="178">
        <f ca="1">IF(L275&gt;0,N275*100/L275,0)</f>
        <v>54.665032679738559</v>
      </c>
      <c r="P275" s="178">
        <f ca="1">IF(M275&gt;0,N275*100/M275,0)</f>
        <v>107.91935483870968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IFERROR(__xludf.DUMMYFUNCTION("IMPORTRANGE(""https://docs.google.com/spreadsheets/d/1Yj_ptqi66GCucihVvJfMjLAmec39IyEx_6qawtMGysU/edit?usp=sharing"",""สบก!CG36"")"),0)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IFERROR(__xludf.DUMMYFUNCTION("IMPORTRANGE(""https://docs.google.com/spreadsheets/d/1Yj_ptqi66GCucihVvJfMjLAmec39IyEx_6qawtMGysU/edit?usp=sharing"",""สบก!CH36"")"),183600)</f>
        <v>183600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IFERROR(__xludf.DUMMYFUNCTION("IMPORTRANGE(""https://docs.google.com/spreadsheets/d/1Yj_ptqi66GCucihVvJfMjLAmec39IyEx_6qawtMGysU/edit?usp=sharing"",""สบก!CI36"")"),0)</f>
        <v>0</v>
      </c>
      <c r="M279" s="103"/>
      <c r="N279" s="93">
        <f ca="1">IFERROR(__xludf.DUMMYFUNCTION("IMPORTRANGE(""https://docs.google.com/spreadsheets/d/1Yj_ptqi66GCucihVvJfMjLAmec39IyEx_6qawtMGysU/edit?usp=sharing"",""สบก!CM36"")"),0)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IFERROR(__xludf.DUMMYFUNCTION("IMPORTRANGE(""https://docs.google.com/spreadsheets/d/11923uPwbBZFjjGgGUA6NLw09EwE0CqkOc4q9oUmW1yo/edit?usp=sharing"",""อุทัยธานี!J191"")"),0)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IFERROR(__xludf.DUMMYFUNCTION("IMPORTRANGE(""https://docs.google.com/spreadsheets/d/11923uPwbBZFjjGgGUA6NLw09EwE0CqkOc4q9oUmW1yo/edit?usp=sharing"",""อุทัยธานี!J192"")"),1)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IFERROR(__xludf.DUMMYFUNCTION("IMPORTRANGE(""https://docs.google.com/spreadsheets/d/11923uPwbBZFjjGgGUA6NLw09EwE0CqkOc4q9oUmW1yo/edit?usp=sharing"",""อุทัยธานี!J193"")"),0)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IFERROR(__xludf.DUMMYFUNCTION("IMPORTRANGE(""https://docs.google.com/spreadsheets/d/11923uPwbBZFjjGgGUA6NLw09EwE0CqkOc4q9oUmW1yo/edit?usp=sharing"",""อุทัยธานี!J194"")"),0)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IFERROR(__xludf.DUMMYFUNCTION("IMPORTRANGE(""https://docs.google.com/spreadsheets/d/11923uPwbBZFjjGgGUA6NLw09EwE0CqkOc4q9oUmW1yo/edit?usp=sharing"",""อุทัยธานี!I195"")"),20)</f>
        <v>20</v>
      </c>
      <c r="J285" s="198">
        <f ca="1">IFERROR(__xludf.DUMMYFUNCTION("IMPORTRANGE(""https://docs.google.com/spreadsheets/d/11923uPwbBZFjjGgGUA6NLw09EwE0CqkOc4q9oUmW1yo/edit?usp=sharing"",""อุทัยธานี!J195"")"),20)</f>
        <v>20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IFERROR(__xludf.DUMMYFUNCTION("IMPORTRANGE(""https://docs.google.com/spreadsheets/d/11923uPwbBZFjjGgGUA6NLw09EwE0CqkOc4q9oUmW1yo/edit?usp=sharing"",""อุทัยธานี!J196"")"),0)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IFERROR(__xludf.DUMMYFUNCTION("IMPORTRANGE(""https://docs.google.com/spreadsheets/d/11923uPwbBZFjjGgGUA6NLw09EwE0CqkOc4q9oUmW1yo/edit?usp=sharing"",""อุทัยธานี!J197"")"),0)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IFERROR(__xludf.DUMMYFUNCTION("IMPORTRANGE(""https://docs.google.com/spreadsheets/d/11923uPwbBZFjjGgGUA6NLw09EwE0CqkOc4q9oUmW1yo/edit?usp=sharing"",""อุทัยธานี!I199"")"),40)</f>
        <v>40</v>
      </c>
      <c r="J289" s="324">
        <f ca="1">IFERROR(__xludf.DUMMYFUNCTION("IMPORTRANGE(""https://docs.google.com/spreadsheets/d/11923uPwbBZFjjGgGUA6NLw09EwE0CqkOc4q9oUmW1yo/edit?usp=sharing"",""อุทัยธานี!J199"")"),0)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120760</v>
      </c>
      <c r="M290" s="158">
        <f t="shared" ca="1" si="88"/>
        <v>55980</v>
      </c>
      <c r="N290" s="158">
        <f t="shared" ca="1" si="88"/>
        <v>18360</v>
      </c>
      <c r="O290" s="157">
        <f t="shared" ref="O290:O292" ca="1" si="89">IF(L290&gt;0,N290*100/L290,0)</f>
        <v>15.203709837694602</v>
      </c>
      <c r="P290" s="157">
        <f t="shared" ref="P290:P292" ca="1" si="90">IF(M290&gt;0,N290*100/M290,0)</f>
        <v>32.79742765273312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120760</v>
      </c>
      <c r="M292" s="163">
        <f t="shared" ca="1" si="92"/>
        <v>55980</v>
      </c>
      <c r="N292" s="163">
        <f t="shared" ca="1" si="92"/>
        <v>18360</v>
      </c>
      <c r="O292" s="162">
        <f t="shared" ca="1" si="89"/>
        <v>15.203709837694602</v>
      </c>
      <c r="P292" s="162">
        <f t="shared" ca="1" si="90"/>
        <v>32.79742765273312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120760</v>
      </c>
      <c r="M294" s="176">
        <f ca="1">IFERROR(__xludf.DUMMYFUNCTION("IMPORTRANGE(""https://docs.google.com/spreadsheets/d/1Yj_ptqi66GCucihVvJfMjLAmec39IyEx_6qawtMGysU/edit?usp=sharing"",""สบก!CT36"")"),55980)</f>
        <v>55980</v>
      </c>
      <c r="N294" s="177">
        <f ca="1">IFERROR(__xludf.DUMMYFUNCTION("IMPORTRANGE(""https://docs.google.com/spreadsheets/d/1Yj_ptqi66GCucihVvJfMjLAmec39IyEx_6qawtMGysU/edit?usp=sharing"",""สบก!CU36"")"),18360)</f>
        <v>18360</v>
      </c>
      <c r="O294" s="178">
        <f ca="1">IF(L294&gt;0,N294*100/L294,0)</f>
        <v>15.203709837694602</v>
      </c>
      <c r="P294" s="178">
        <f ca="1">IF(M294&gt;0,N294*100/M294,0)</f>
        <v>32.79742765273312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IFERROR(__xludf.DUMMYFUNCTION("IMPORTRANGE(""https://docs.google.com/spreadsheets/d/1Yj_ptqi66GCucihVvJfMjLAmec39IyEx_6qawtMGysU/edit?usp=sharing"",""สบก!CP36"")"),0)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IFERROR(__xludf.DUMMYFUNCTION("IMPORTRANGE(""https://docs.google.com/spreadsheets/d/1Yj_ptqi66GCucihVvJfMjLAmec39IyEx_6qawtMGysU/edit?usp=sharing"",""สบก!CQ36"")"),120760)</f>
        <v>120760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IFERROR(__xludf.DUMMYFUNCTION("IMPORTRANGE(""https://docs.google.com/spreadsheets/d/1Yj_ptqi66GCucihVvJfMjLAmec39IyEx_6qawtMGysU/edit?usp=sharing"",""สบก!CR36"")"),0)</f>
        <v>0</v>
      </c>
      <c r="M298" s="103"/>
      <c r="N298" s="93">
        <f ca="1">IFERROR(__xludf.DUMMYFUNCTION("IMPORTRANGE(""https://docs.google.com/spreadsheets/d/1Yj_ptqi66GCucihVvJfMjLAmec39IyEx_6qawtMGysU/edit?usp=sharing"",""สบก!CV36"")"),0)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IFERROR(__xludf.DUMMYFUNCTION("IMPORTRANGE(""https://docs.google.com/spreadsheets/d/11923uPwbBZFjjGgGUA6NLw09EwE0CqkOc4q9oUmW1yo/edit?usp=sharing"",""อุทัยธานี!J205"")"),0)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IFERROR(__xludf.DUMMYFUNCTION("IMPORTRANGE(""https://docs.google.com/spreadsheets/d/11923uPwbBZFjjGgGUA6NLw09EwE0CqkOc4q9oUmW1yo/edit?usp=sharing"",""อุทัยธานี!J206"")"),1)</f>
        <v>1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IFERROR(__xludf.DUMMYFUNCTION("IMPORTRANGE(""https://docs.google.com/spreadsheets/d/11923uPwbBZFjjGgGUA6NLw09EwE0CqkOc4q9oUmW1yo/edit?usp=sharing"",""อุทัยธานี!J207"")"),1)</f>
        <v>1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IFERROR(__xludf.DUMMYFUNCTION("IMPORTRANGE(""https://docs.google.com/spreadsheets/d/11923uPwbBZFjjGgGUA6NLw09EwE0CqkOc4q9oUmW1yo/edit?usp=sharing"",""อุทัยธานี!J208"")"),1)</f>
        <v>1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IFERROR(__xludf.DUMMYFUNCTION("IMPORTRANGE(""https://docs.google.com/spreadsheets/d/11923uPwbBZFjjGgGUA6NLw09EwE0CqkOc4q9oUmW1yo/edit?usp=sharing"",""อุทัยธานี!I209"")"),40)</f>
        <v>40</v>
      </c>
      <c r="J304" s="213">
        <f ca="1">IFERROR(__xludf.DUMMYFUNCTION("IMPORTRANGE(""https://docs.google.com/spreadsheets/d/11923uPwbBZFjjGgGUA6NLw09EwE0CqkOc4q9oUmW1yo/edit?usp=sharing"",""อุทัยธานี!J209"")"),0)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IFERROR(__xludf.DUMMYFUNCTION("IMPORTRANGE(""https://docs.google.com/spreadsheets/d/11923uPwbBZFjjGgGUA6NLw09EwE0CqkOc4q9oUmW1yo/edit?usp=sharing"",""อุทัยธานี!I211"")"),40)</f>
        <v>40</v>
      </c>
      <c r="J306" s="213">
        <f ca="1">IFERROR(__xludf.DUMMYFUNCTION("IMPORTRANGE(""https://docs.google.com/spreadsheets/d/11923uPwbBZFjjGgGUA6NLw09EwE0CqkOc4q9oUmW1yo/edit?usp=sharing"",""อุทัยธานี!J211"")"),0)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IFERROR(__xludf.DUMMYFUNCTION("IMPORTRANGE(""https://docs.google.com/spreadsheets/d/11923uPwbBZFjjGgGUA6NLw09EwE0CqkOc4q9oUmW1yo/edit?usp=sharing"",""อุทัยธานี!J212"")"),0)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IFERROR(__xludf.DUMMYFUNCTION("IMPORTRANGE(""https://docs.google.com/spreadsheets/d/11923uPwbBZFjjGgGUA6NLw09EwE0CqkOc4q9oUmW1yo/edit?usp=sharing"",""อุทัยธานี!J213"")"),0)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IFERROR(__xludf.DUMMYFUNCTION("IMPORTRANGE(""https://docs.google.com/spreadsheets/d/11923uPwbBZFjjGgGUA6NLw09EwE0CqkOc4q9oUmW1yo/edit?usp=sharing"",""อุทัยธานี!I214"")"),1)</f>
        <v>1</v>
      </c>
      <c r="J309" s="341">
        <f ca="1">IFERROR(__xludf.DUMMYFUNCTION("IMPORTRANGE(""https://docs.google.com/spreadsheets/d/11923uPwbBZFjjGgGUA6NLw09EwE0CqkOc4q9oUmW1yo/edit?usp=sharing"",""อุทัยธานี!J214"")"),0)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262600</v>
      </c>
      <c r="M310" s="158">
        <f t="shared" ca="1" si="93"/>
        <v>251300</v>
      </c>
      <c r="N310" s="158">
        <f t="shared" ca="1" si="93"/>
        <v>95370</v>
      </c>
      <c r="O310" s="157">
        <f t="shared" ref="O310:O312" ca="1" si="94">IF(L310&gt;0,N310*100/L310,0)</f>
        <v>36.317593297791319</v>
      </c>
      <c r="P310" s="157">
        <f t="shared" ref="P310:P312" ca="1" si="95">IF(M310&gt;0,N310*100/M310,0)</f>
        <v>37.950656585754082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262600</v>
      </c>
      <c r="M312" s="163">
        <f t="shared" ca="1" si="97"/>
        <v>251300</v>
      </c>
      <c r="N312" s="163">
        <f t="shared" ca="1" si="97"/>
        <v>95370</v>
      </c>
      <c r="O312" s="162">
        <f t="shared" ca="1" si="94"/>
        <v>36.317593297791319</v>
      </c>
      <c r="P312" s="162">
        <f t="shared" ca="1" si="95"/>
        <v>37.950656585754082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262600</v>
      </c>
      <c r="M314" s="176">
        <f ca="1">IFERROR(__xludf.DUMMYFUNCTION("IMPORTRANGE(""https://docs.google.com/spreadsheets/d/1Yj_ptqi66GCucihVvJfMjLAmec39IyEx_6qawtMGysU/edit?usp=sharing"",""สบก!DC36"")"),251300)</f>
        <v>251300</v>
      </c>
      <c r="N314" s="177">
        <f ca="1">IFERROR(__xludf.DUMMYFUNCTION("IMPORTRANGE(""https://docs.google.com/spreadsheets/d/1Yj_ptqi66GCucihVvJfMjLAmec39IyEx_6qawtMGysU/edit?usp=sharing"",""สบก!DD36"")"),95370)</f>
        <v>95370</v>
      </c>
      <c r="O314" s="178">
        <f ca="1">IF(L314&gt;0,N314*100/L314,0)</f>
        <v>36.317593297791319</v>
      </c>
      <c r="P314" s="178">
        <f ca="1">IF(M314&gt;0,N314*100/M314,0)</f>
        <v>37.950656585754082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IFERROR(__xludf.DUMMYFUNCTION("IMPORTRANGE(""https://docs.google.com/spreadsheets/d/1Yj_ptqi66GCucihVvJfMjLAmec39IyEx_6qawtMGysU/edit?usp=sharing"",""สบก!CY36"")"),0)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IFERROR(__xludf.DUMMYFUNCTION("IMPORTRANGE(""https://docs.google.com/spreadsheets/d/1Yj_ptqi66GCucihVvJfMjLAmec39IyEx_6qawtMGysU/edit?usp=sharing"",""สบก!CZ36"")"),262600)</f>
        <v>262600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IFERROR(__xludf.DUMMYFUNCTION("IMPORTRANGE(""https://docs.google.com/spreadsheets/d/1Yj_ptqi66GCucihVvJfMjLAmec39IyEx_6qawtMGysU/edit?usp=sharing"",""สบก!DA36"")"),0)</f>
        <v>0</v>
      </c>
      <c r="M318" s="103"/>
      <c r="N318" s="93">
        <f ca="1">IFERROR(__xludf.DUMMYFUNCTION("IMPORTRANGE(""https://docs.google.com/spreadsheets/d/1Yj_ptqi66GCucihVvJfMjLAmec39IyEx_6qawtMGysU/edit?usp=sharing"",""สบก!DE36"")"),0)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IFERROR(__xludf.DUMMYFUNCTION("IMPORTRANGE(""https://docs.google.com/spreadsheets/d/11923uPwbBZFjjGgGUA6NLw09EwE0CqkOc4q9oUmW1yo/edit?usp=sharing"",""อุทัยธานี!J220"")"),0)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IFERROR(__xludf.DUMMYFUNCTION("IMPORTRANGE(""https://docs.google.com/spreadsheets/d/11923uPwbBZFjjGgGUA6NLw09EwE0CqkOc4q9oUmW1yo/edit?usp=sharing"",""อุทัยธานี!J221"")"),1)</f>
        <v>1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IFERROR(__xludf.DUMMYFUNCTION("IMPORTRANGE(""https://docs.google.com/spreadsheets/d/11923uPwbBZFjjGgGUA6NLw09EwE0CqkOc4q9oUmW1yo/edit?usp=sharing"",""อุทัยธานี!J222"")"),1)</f>
        <v>1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IFERROR(__xludf.DUMMYFUNCTION("IMPORTRANGE(""https://docs.google.com/spreadsheets/d/11923uPwbBZFjjGgGUA6NLw09EwE0CqkOc4q9oUmW1yo/edit?usp=sharing"",""อุทัยธานี!J223"")"),1)</f>
        <v>1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IFERROR(__xludf.DUMMYFUNCTION("IMPORTRANGE(""https://docs.google.com/spreadsheets/d/11923uPwbBZFjjGgGUA6NLw09EwE0CqkOc4q9oUmW1yo/edit?usp=sharing"",""อุทัยธานี!I224"")"),1)</f>
        <v>1</v>
      </c>
      <c r="J324" s="213">
        <f ca="1">IFERROR(__xludf.DUMMYFUNCTION("IMPORTRANGE(""https://docs.google.com/spreadsheets/d/11923uPwbBZFjjGgGUA6NLw09EwE0CqkOc4q9oUmW1yo/edit?usp=sharing"",""อุทัยธานี!J224"")"),0)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IFERROR(__xludf.DUMMYFUNCTION("IMPORTRANGE(""https://docs.google.com/spreadsheets/d/11923uPwbBZFjjGgGUA6NLw09EwE0CqkOc4q9oUmW1yo/edit?usp=sharing"",""อุทัยธานี!J225"")"),0)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IFERROR(__xludf.DUMMYFUNCTION("IMPORTRANGE(""https://docs.google.com/spreadsheets/d/11923uPwbBZFjjGgGUA6NLw09EwE0CqkOc4q9oUmW1yo/edit?usp=sharing"",""อุทัยธานี!J226"")"),0)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IFERROR(__xludf.DUMMYFUNCTION("IMPORTRANGE(""https://docs.google.com/spreadsheets/d/11923uPwbBZFjjGgGUA6NLw09EwE0CqkOc4q9oUmW1yo/edit?usp=sharing"",""อุทัยธานี!I228"")"),215)</f>
        <v>215</v>
      </c>
      <c r="J328" s="347">
        <f ca="1">IFERROR(__xludf.DUMMYFUNCTION("IMPORTRANGE(""https://docs.google.com/spreadsheets/d/11923uPwbBZFjjGgGUA6NLw09EwE0CqkOc4q9oUmW1yo/edit?usp=sharing"",""อุทัยธานี!J228"")"),25)</f>
        <v>25</v>
      </c>
      <c r="K328" s="325">
        <f ca="1">IF(I328&gt;0,J328*100/I328,0)</f>
        <v>11.627906976744185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1057670</v>
      </c>
      <c r="M329" s="158">
        <f t="shared" ca="1" si="98"/>
        <v>487640</v>
      </c>
      <c r="N329" s="158">
        <f t="shared" ca="1" si="98"/>
        <v>452052</v>
      </c>
      <c r="O329" s="157">
        <f t="shared" ref="O329:O331" ca="1" si="99">IF(L329&gt;0,N329*100/L329,0)</f>
        <v>42.740363251297666</v>
      </c>
      <c r="P329" s="157">
        <f t="shared" ref="P329:P331" ca="1" si="100">IF(M329&gt;0,N329*100/M329,0)</f>
        <v>92.701993273726515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1057670</v>
      </c>
      <c r="M331" s="163">
        <f t="shared" ca="1" si="102"/>
        <v>487640</v>
      </c>
      <c r="N331" s="163">
        <f t="shared" ca="1" si="102"/>
        <v>452052</v>
      </c>
      <c r="O331" s="162">
        <f t="shared" ca="1" si="99"/>
        <v>42.740363251297666</v>
      </c>
      <c r="P331" s="162">
        <f t="shared" ca="1" si="100"/>
        <v>92.701993273726515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910670</v>
      </c>
      <c r="M333" s="176">
        <f ca="1">IFERROR(__xludf.DUMMYFUNCTION("IMPORTRANGE(""https://docs.google.com/spreadsheets/d/1Yj_ptqi66GCucihVvJfMjLAmec39IyEx_6qawtMGysU/edit?usp=sharing"",""สบก!DL36"")"),487640)</f>
        <v>487640</v>
      </c>
      <c r="N333" s="177">
        <f ca="1">IFERROR(__xludf.DUMMYFUNCTION("IMPORTRANGE(""https://docs.google.com/spreadsheets/d/1Yj_ptqi66GCucihVvJfMjLAmec39IyEx_6qawtMGysU/edit?usp=sharing"",""สบก!DM36"")"),307052)</f>
        <v>307052</v>
      </c>
      <c r="O333" s="178">
        <f ca="1">IF(L333&gt;0,N333*100/L333,0)</f>
        <v>33.717153304709718</v>
      </c>
      <c r="P333" s="178">
        <f ca="1">IF(M333&gt;0,N333*100/M333,0)</f>
        <v>62.966942826675414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IFERROR(__xludf.DUMMYFUNCTION("IMPORTRANGE(""https://docs.google.com/spreadsheets/d/1Yj_ptqi66GCucihVvJfMjLAmec39IyEx_6qawtMGysU/edit?usp=sharing"",""สบก!DH36"")"),500400)</f>
        <v>500400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IFERROR(__xludf.DUMMYFUNCTION("IMPORTRANGE(""https://docs.google.com/spreadsheets/d/1Yj_ptqi66GCucihVvJfMjLAmec39IyEx_6qawtMGysU/edit?usp=sharing"",""สบก!DI36"")"),410270)</f>
        <v>410270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IFERROR(__xludf.DUMMYFUNCTION("IMPORTRANGE(""https://docs.google.com/spreadsheets/d/1Yj_ptqi66GCucihVvJfMjLAmec39IyEx_6qawtMGysU/edit?usp=sharing"",""สบก!DJ36"")"),147000)</f>
        <v>147000</v>
      </c>
      <c r="M337" s="103"/>
      <c r="N337" s="93">
        <f ca="1">IFERROR(__xludf.DUMMYFUNCTION("IMPORTRANGE(""https://docs.google.com/spreadsheets/d/1Yj_ptqi66GCucihVvJfMjLAmec39IyEx_6qawtMGysU/edit?usp=sharing"",""สบก!DN36"")"),145000)</f>
        <v>145000</v>
      </c>
      <c r="O337" s="103">
        <f ca="1">IF(L337&gt;0,N337*100/L337,0)</f>
        <v>98.639455782312922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IFERROR(__xludf.DUMMYFUNCTION("IMPORTRANGE(""https://docs.google.com/spreadsheets/d/11923uPwbBZFjjGgGUA6NLw09EwE0CqkOc4q9oUmW1yo/edit?usp=sharing"",""อุทัยธานี!I234"")"),0)</f>
        <v>0</v>
      </c>
      <c r="J339" s="197">
        <f ca="1">IFERROR(__xludf.DUMMYFUNCTION("IMPORTRANGE(""https://docs.google.com/spreadsheets/d/11923uPwbBZFjjGgGUA6NLw09EwE0CqkOc4q9oUmW1yo/edit?usp=sharing"",""อุทัยธานี!J234"")"),37)</f>
        <v>37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IFERROR(__xludf.DUMMYFUNCTION("IMPORTRANGE(""https://docs.google.com/spreadsheets/d/11923uPwbBZFjjGgGUA6NLw09EwE0CqkOc4q9oUmW1yo/edit?usp=sharing"",""อุทัยธานี!I235"")"),2000)</f>
        <v>2000</v>
      </c>
      <c r="J340" s="197">
        <f ca="1">IFERROR(__xludf.DUMMYFUNCTION("IMPORTRANGE(""https://docs.google.com/spreadsheets/d/11923uPwbBZFjjGgGUA6NLw09EwE0CqkOc4q9oUmW1yo/edit?usp=sharing"",""อุทัยธานี!J235"")"),323.41)</f>
        <v>323.41000000000003</v>
      </c>
      <c r="K340" s="350">
        <f t="shared" ca="1" si="103"/>
        <v>16.170500000000001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IFERROR(__xludf.DUMMYFUNCTION("IMPORTRANGE(""https://docs.google.com/spreadsheets/d/11923uPwbBZFjjGgGUA6NLw09EwE0CqkOc4q9oUmW1yo/edit?usp=sharing"",""อุทัยธานี!I236"")"),215)</f>
        <v>215</v>
      </c>
      <c r="J341" s="197">
        <f ca="1">IFERROR(__xludf.DUMMYFUNCTION("IMPORTRANGE(""https://docs.google.com/spreadsheets/d/11923uPwbBZFjjGgGUA6NLw09EwE0CqkOc4q9oUmW1yo/edit?usp=sharing"",""อุทัยธานี!J236"")"),58)</f>
        <v>58</v>
      </c>
      <c r="K341" s="350">
        <f t="shared" ca="1" si="103"/>
        <v>26.976744186046513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IFERROR(__xludf.DUMMYFUNCTION("IMPORTRANGE(""https://docs.google.com/spreadsheets/d/11923uPwbBZFjjGgGUA6NLw09EwE0CqkOc4q9oUmW1yo/edit?usp=sharing"",""อุทัยธานี!I237"")"),0)</f>
        <v>0</v>
      </c>
      <c r="J342" s="197">
        <f ca="1">IFERROR(__xludf.DUMMYFUNCTION("IMPORTRANGE(""https://docs.google.com/spreadsheets/d/11923uPwbBZFjjGgGUA6NLw09EwE0CqkOc4q9oUmW1yo/edit?usp=sharing"",""อุทัยธานี!J237"")"),820.16)</f>
        <v>820.16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IFERROR(__xludf.DUMMYFUNCTION("IMPORTRANGE(""https://docs.google.com/spreadsheets/d/11923uPwbBZFjjGgGUA6NLw09EwE0CqkOc4q9oUmW1yo/edit?usp=sharing"",""อุทัยธานี!I238"")"),215)</f>
        <v>215</v>
      </c>
      <c r="J343" s="197">
        <f ca="1">IFERROR(__xludf.DUMMYFUNCTION("IMPORTRANGE(""https://docs.google.com/spreadsheets/d/11923uPwbBZFjjGgGUA6NLw09EwE0CqkOc4q9oUmW1yo/edit?usp=sharing"",""อุทัยธานี!J238"")"),29)</f>
        <v>29</v>
      </c>
      <c r="K343" s="350">
        <f t="shared" ca="1" si="103"/>
        <v>13.488372093023257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IFERROR(__xludf.DUMMYFUNCTION("IMPORTRANGE(""https://docs.google.com/spreadsheets/d/11923uPwbBZFjjGgGUA6NLw09EwE0CqkOc4q9oUmW1yo/edit?usp=sharing"",""อุทัยธานี!I239"")"),0)</f>
        <v>0</v>
      </c>
      <c r="J344" s="197">
        <f ca="1">IFERROR(__xludf.DUMMYFUNCTION("IMPORTRANGE(""https://docs.google.com/spreadsheets/d/11923uPwbBZFjjGgGUA6NLw09EwE0CqkOc4q9oUmW1yo/edit?usp=sharing"",""อุทัยธานี!J239"")"),264.31)</f>
        <v>264.31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IFERROR(__xludf.DUMMYFUNCTION("IMPORTRANGE(""https://docs.google.com/spreadsheets/d/11923uPwbBZFjjGgGUA6NLw09EwE0CqkOc4q9oUmW1yo/edit?usp=sharing"",""อุทัยธานี!I240"")"),215)</f>
        <v>215</v>
      </c>
      <c r="J345" s="197">
        <f ca="1">IFERROR(__xludf.DUMMYFUNCTION("IMPORTRANGE(""https://docs.google.com/spreadsheets/d/11923uPwbBZFjjGgGUA6NLw09EwE0CqkOc4q9oUmW1yo/edit?usp=sharing"",""อุทัยธานี!J240"")"),25)</f>
        <v>25</v>
      </c>
      <c r="K345" s="350">
        <f t="shared" ca="1" si="103"/>
        <v>11.627906976744185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IFERROR(__xludf.DUMMYFUNCTION("IMPORTRANGE(""https://docs.google.com/spreadsheets/d/11923uPwbBZFjjGgGUA6NLw09EwE0CqkOc4q9oUmW1yo/edit?usp=sharing"",""อุทัยธานี!I241"")"),0)</f>
        <v>0</v>
      </c>
      <c r="J346" s="197">
        <f ca="1">IFERROR(__xludf.DUMMYFUNCTION("IMPORTRANGE(""https://docs.google.com/spreadsheets/d/11923uPwbBZFjjGgGUA6NLw09EwE0CqkOc4q9oUmW1yo/edit?usp=sharing"",""อุทัยธานี!J241"")"),487.47)</f>
        <v>487.47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IFERROR(__xludf.DUMMYFUNCTION("IMPORTRANGE(""https://docs.google.com/spreadsheets/d/11923uPwbBZFjjGgGUA6NLw09EwE0CqkOc4q9oUmW1yo/edit?usp=sharing"",""อุทัยธานี!L242"")"),2182395)</f>
        <v>2182395</v>
      </c>
      <c r="M347" s="366"/>
      <c r="N347" s="366">
        <f ca="1">IFERROR(__xludf.DUMMYFUNCTION("IMPORTRANGE(""https://docs.google.com/spreadsheets/d/11923uPwbBZFjjGgGUA6NLw09EwE0CqkOc4q9oUmW1yo/edit?usp=sharing"",""อุทัยธานี!M242"")"),421181.33)</f>
        <v>421181.33</v>
      </c>
      <c r="O347" s="366">
        <f ca="1">+IF(L347&gt;0,N347*100/L347,0)</f>
        <v>19.29904210740952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IFERROR(__xludf.DUMMYFUNCTION("IMPORTRANGE(""https://docs.google.com/spreadsheets/d/11923uPwbBZFjjGgGUA6NLw09EwE0CqkOc4q9oUmW1yo/edit?usp=sharing"",""อุทัยธานี!I244"")"),70)</f>
        <v>70</v>
      </c>
      <c r="J349" s="379">
        <f ca="1">IFERROR(__xludf.DUMMYFUNCTION("IMPORTRANGE(""https://docs.google.com/spreadsheets/d/11923uPwbBZFjjGgGUA6NLw09EwE0CqkOc4q9oUmW1yo/edit?usp=sharing"",""อุทัยธานี!J244"")"),20)</f>
        <v>20</v>
      </c>
      <c r="K349" s="380">
        <f t="shared" ref="K349:K350" ca="1" si="104">IF(I349&gt;0,J349*100/I349,0)</f>
        <v>28.571428571428573</v>
      </c>
      <c r="L349" s="381">
        <f ca="1">IFERROR(__xludf.DUMMYFUNCTION("IMPORTRANGE(""https://docs.google.com/spreadsheets/d/11923uPwbBZFjjGgGUA6NLw09EwE0CqkOc4q9oUmW1yo/edit?usp=sharing"",""อุทัยธานี!L244"")"),303160)</f>
        <v>303160</v>
      </c>
      <c r="M349" s="381"/>
      <c r="N349" s="381">
        <f ca="1">IFERROR(__xludf.DUMMYFUNCTION("IMPORTRANGE(""https://docs.google.com/spreadsheets/d/11923uPwbBZFjjGgGUA6NLw09EwE0CqkOc4q9oUmW1yo/edit?usp=sharing"",""อุทัยธานี!M244"")"),86680)</f>
        <v>86680</v>
      </c>
      <c r="O349" s="381">
        <f ca="1">+IF(L349&gt;0,N349*100/L349,0)</f>
        <v>28.592162554426704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IFERROR(__xludf.DUMMYFUNCTION("IMPORTRANGE(""https://docs.google.com/spreadsheets/d/11923uPwbBZFjjGgGUA6NLw09EwE0CqkOc4q9oUmW1yo/edit?usp=sharing"",""อุทัยธานี!I245"")"),40)</f>
        <v>40</v>
      </c>
      <c r="J350" s="379">
        <f ca="1">IFERROR(__xludf.DUMMYFUNCTION("IMPORTRANGE(""https://docs.google.com/spreadsheets/d/11923uPwbBZFjjGgGUA6NLw09EwE0CqkOc4q9oUmW1yo/edit?usp=sharing"",""อุทัยธานี!J245"")"),0)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IFERROR(__xludf.DUMMYFUNCTION("IMPORTRANGE(""https://docs.google.com/spreadsheets/d/11923uPwbBZFjjGgGUA6NLw09EwE0CqkOc4q9oUmW1yo/edit?usp=sharing"",""อุทัยธานี!L246"")"),0)</f>
        <v>0</v>
      </c>
      <c r="M351" s="172"/>
      <c r="N351" s="172">
        <f ca="1">IFERROR(__xludf.DUMMYFUNCTION("IMPORTRANGE(""https://docs.google.com/spreadsheets/d/11923uPwbBZFjjGgGUA6NLw09EwE0CqkOc4q9oUmW1yo/edit?usp=sharing"",""อุทัยธานี!M246"")"),0)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IFERROR(__xludf.DUMMYFUNCTION("IMPORTRANGE(""https://docs.google.com/spreadsheets/d/11923uPwbBZFjjGgGUA6NLw09EwE0CqkOc4q9oUmW1yo/edit?usp=sharing"",""อุทัยธานี!L247"")"),303160)</f>
        <v>303160</v>
      </c>
      <c r="M352" s="173"/>
      <c r="N352" s="172">
        <f ca="1">IFERROR(__xludf.DUMMYFUNCTION("IMPORTRANGE(""https://docs.google.com/spreadsheets/d/11923uPwbBZFjjGgGUA6NLw09EwE0CqkOc4q9oUmW1yo/edit?usp=sharing"",""อุทัยธานี!M247"")"),86680)</f>
        <v>86680</v>
      </c>
      <c r="O352" s="173">
        <f t="shared" ca="1" si="105"/>
        <v>28.592162554426704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IFERROR(__xludf.DUMMYFUNCTION("IMPORTRANGE(""https://docs.google.com/spreadsheets/d/11923uPwbBZFjjGgGUA6NLw09EwE0CqkOc4q9oUmW1yo/edit?usp=sharing"",""อุทัยธานี!L248"")"),0)</f>
        <v>0</v>
      </c>
      <c r="M353" s="178"/>
      <c r="N353" s="178">
        <f ca="1">IFERROR(__xludf.DUMMYFUNCTION("IMPORTRANGE(""https://docs.google.com/spreadsheets/d/11923uPwbBZFjjGgGUA6NLw09EwE0CqkOc4q9oUmW1yo/edit?usp=sharing"",""อุทัยธานี!M248"")"),0)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IFERROR(__xludf.DUMMYFUNCTION("IMPORTRANGE(""https://docs.google.com/spreadsheets/d/11923uPwbBZFjjGgGUA6NLw09EwE0CqkOc4q9oUmW1yo/edit?usp=sharing"",""อุทัยธานี!L249"")"),303160)</f>
        <v>303160</v>
      </c>
      <c r="M354" s="178"/>
      <c r="N354" s="175">
        <f ca="1">IFERROR(__xludf.DUMMYFUNCTION("IMPORTRANGE(""https://docs.google.com/spreadsheets/d/11923uPwbBZFjjGgGUA6NLw09EwE0CqkOc4q9oUmW1yo/edit?usp=sharing"",""อุทัยธานี!M249"")"),86680)</f>
        <v>86680</v>
      </c>
      <c r="O354" s="178">
        <f t="shared" ca="1" si="105"/>
        <v>28.592162554426704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IFERROR(__xludf.DUMMYFUNCTION("IMPORTRANGE(""https://docs.google.com/spreadsheets/d/11923uPwbBZFjjGgGUA6NLw09EwE0CqkOc4q9oUmW1yo/edit?usp=sharing"",""อุทัยธานี!M250"")"),40320)</f>
        <v>40320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IFERROR(__xludf.DUMMYFUNCTION("IMPORTRANGE(""https://docs.google.com/spreadsheets/d/11923uPwbBZFjjGgGUA6NLw09EwE0CqkOc4q9oUmW1yo/edit?usp=sharing"",""อุทัยธานี!M251"")"),0)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IFERROR(__xludf.DUMMYFUNCTION("IMPORTRANGE(""https://docs.google.com/spreadsheets/d/11923uPwbBZFjjGgGUA6NLw09EwE0CqkOc4q9oUmW1yo/edit?usp=sharing"",""อุทัยธานี!M252"")"),31580)</f>
        <v>31580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IFERROR(__xludf.DUMMYFUNCTION("IMPORTRANGE(""https://docs.google.com/spreadsheets/d/11923uPwbBZFjjGgGUA6NLw09EwE0CqkOc4q9oUmW1yo/edit?usp=sharing"",""อุทัยธานี!M253"")"),14780)</f>
        <v>14780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IFERROR(__xludf.DUMMYFUNCTION("IMPORTRANGE(""https://docs.google.com/spreadsheets/d/11923uPwbBZFjjGgGUA6NLw09EwE0CqkOc4q9oUmW1yo/edit?usp=sharing"",""อุทัยธานี!J255"")"),0)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IFERROR(__xludf.DUMMYFUNCTION("IMPORTRANGE(""https://docs.google.com/spreadsheets/d/11923uPwbBZFjjGgGUA6NLw09EwE0CqkOc4q9oUmW1yo/edit?usp=sharing"",""อุทัยธานี!J256"")"),1)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IFERROR(__xludf.DUMMYFUNCTION("IMPORTRANGE(""https://docs.google.com/spreadsheets/d/11923uPwbBZFjjGgGUA6NLw09EwE0CqkOc4q9oUmW1yo/edit?usp=sharing"",""อุทัยธานี!J257"")"),1)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IFERROR(__xludf.DUMMYFUNCTION("IMPORTRANGE(""https://docs.google.com/spreadsheets/d/11923uPwbBZFjjGgGUA6NLw09EwE0CqkOc4q9oUmW1yo/edit?usp=sharing"",""อุทัยธานี!J258"")"),1)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IFERROR(__xludf.DUMMYFUNCTION("IMPORTRANGE(""https://docs.google.com/spreadsheets/d/11923uPwbBZFjjGgGUA6NLw09EwE0CqkOc4q9oUmW1yo/edit?usp=sharing"",""อุทัยธานี!J166"")"),0)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IFERROR(__xludf.DUMMYFUNCTION("IMPORTRANGE(""https://docs.google.com/spreadsheets/d/11923uPwbBZFjjGgGUA6NLw09EwE0CqkOc4q9oUmW1yo/edit?usp=sharing"",""อุทัยธานี!J166"")"),0)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IFERROR(__xludf.DUMMYFUNCTION("IMPORTRANGE(""https://docs.google.com/spreadsheets/d/11923uPwbBZFjjGgGUA6NLw09EwE0CqkOc4q9oUmW1yo/edit?usp=sharing"",""อุทัยธานี!J166"")"),0)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IFERROR(__xludf.DUMMYFUNCTION("IMPORTRANGE(""https://docs.google.com/spreadsheets/d/11923uPwbBZFjjGgGUA6NLw09EwE0CqkOc4q9oUmW1yo/edit?usp=sharing"",""อุทัยธานี!J166"")"),0)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IFERROR(__xludf.DUMMYFUNCTION("IMPORTRANGE(""https://docs.google.com/spreadsheets/d/11923uPwbBZFjjGgGUA6NLw09EwE0CqkOc4q9oUmW1yo/edit?usp=sharing"",""อุทัยธานี!I263"")"),40)</f>
        <v>40</v>
      </c>
      <c r="J368" s="197">
        <f ca="1">IFERROR(__xludf.DUMMYFUNCTION("IMPORTRANGE(""https://docs.google.com/spreadsheets/d/11923uPwbBZFjjGgGUA6NLw09EwE0CqkOc4q9oUmW1yo/edit?usp=sharing"",""อุทัยธานี!J263"")"),0)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IFERROR(__xludf.DUMMYFUNCTION("IMPORTRANGE(""https://docs.google.com/spreadsheets/d/11923uPwbBZFjjGgGUA6NLw09EwE0CqkOc4q9oUmW1yo/edit?usp=sharing"",""อุทัยธานี!I164"")"),0)</f>
        <v>0</v>
      </c>
      <c r="J369" s="213">
        <f ca="1">IFERROR(__xludf.DUMMYFUNCTION("IMPORTRANGE(""https://docs.google.com/spreadsheets/d/11923uPwbBZFjjGgGUA6NLw09EwE0CqkOc4q9oUmW1yo/edit?usp=sharing"",""อุทัยธานี!J164"")"),0)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IFERROR(__xludf.DUMMYFUNCTION("IMPORTRANGE(""https://docs.google.com/spreadsheets/d/11923uPwbBZFjjGgGUA6NLw09EwE0CqkOc4q9oUmW1yo/edit?usp=sharing"",""อุทัยธานี!I265"")"),40)</f>
        <v>40</v>
      </c>
      <c r="J370" s="213">
        <f ca="1">IFERROR(__xludf.DUMMYFUNCTION("IMPORTRANGE(""https://docs.google.com/spreadsheets/d/11923uPwbBZFjjGgGUA6NLw09EwE0CqkOc4q9oUmW1yo/edit?usp=sharing"",""อุทัยธานี!J265"")"),40)</f>
        <v>40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IFERROR(__xludf.DUMMYFUNCTION("IMPORTRANGE(""https://docs.google.com/spreadsheets/d/11923uPwbBZFjjGgGUA6NLw09EwE0CqkOc4q9oUmW1yo/edit?usp=sharing"",""อุทัยธานี!I164"")"),0)</f>
        <v>0</v>
      </c>
      <c r="J371" s="198">
        <f ca="1">IFERROR(__xludf.DUMMYFUNCTION("IMPORTRANGE(""https://docs.google.com/spreadsheets/d/11923uPwbBZFjjGgGUA6NLw09EwE0CqkOc4q9oUmW1yo/edit?usp=sharing"",""อุทัยธานี!J164"")"),0)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IFERROR(__xludf.DUMMYFUNCTION("IMPORTRANGE(""https://docs.google.com/spreadsheets/d/11923uPwbBZFjjGgGUA6NLw09EwE0CqkOc4q9oUmW1yo/edit?usp=sharing"",""อุทัยธานี!I267"")"),40)</f>
        <v>40</v>
      </c>
      <c r="J372" s="198">
        <f ca="1">IFERROR(__xludf.DUMMYFUNCTION("IMPORTRANGE(""https://docs.google.com/spreadsheets/d/11923uPwbBZFjjGgGUA6NLw09EwE0CqkOc4q9oUmW1yo/edit?usp=sharing"",""อุทัยธานี!J267"")"),0)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IFERROR(__xludf.DUMMYFUNCTION("IMPORTRANGE(""https://docs.google.com/spreadsheets/d/11923uPwbBZFjjGgGUA6NLw09EwE0CqkOc4q9oUmW1yo/edit?usp=sharing"",""อุทัยธานี!I164"")"),0)</f>
        <v>0</v>
      </c>
      <c r="J373" s="213">
        <f ca="1">IFERROR(__xludf.DUMMYFUNCTION("IMPORTRANGE(""https://docs.google.com/spreadsheets/d/11923uPwbBZFjjGgGUA6NLw09EwE0CqkOc4q9oUmW1yo/edit?usp=sharing"",""อุทัยธานี!J164"")"),0)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IFERROR(__xludf.DUMMYFUNCTION("IMPORTRANGE(""https://docs.google.com/spreadsheets/d/11923uPwbBZFjjGgGUA6NLw09EwE0CqkOc4q9oUmW1yo/edit?usp=sharing"",""อุทัยธานี!I164"")"),0)</f>
        <v>0</v>
      </c>
      <c r="J374" s="197">
        <f ca="1">IFERROR(__xludf.DUMMYFUNCTION("IMPORTRANGE(""https://docs.google.com/spreadsheets/d/11923uPwbBZFjjGgGUA6NLw09EwE0CqkOc4q9oUmW1yo/edit?usp=sharing"",""อุทัยธานี!J164"")"),0)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IFERROR(__xludf.DUMMYFUNCTION("IMPORTRANGE(""https://docs.google.com/spreadsheets/d/11923uPwbBZFjjGgGUA6NLw09EwE0CqkOc4q9oUmW1yo/edit?usp=sharing"",""อุทัยธานี!I270"")"),70)</f>
        <v>70</v>
      </c>
      <c r="J375" s="197">
        <f ca="1">IFERROR(__xludf.DUMMYFUNCTION("IMPORTRANGE(""https://docs.google.com/spreadsheets/d/11923uPwbBZFjjGgGUA6NLw09EwE0CqkOc4q9oUmW1yo/edit?usp=sharing"",""อุทัยธานี!J270"")"),20)</f>
        <v>20</v>
      </c>
      <c r="K375" s="171">
        <f t="shared" ref="K375:K377" ca="1" si="107">IF(I375&gt;0,J375*100/I375,0)</f>
        <v>28.571428571428573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IFERROR(__xludf.DUMMYFUNCTION("IMPORTRANGE(""https://docs.google.com/spreadsheets/d/11923uPwbBZFjjGgGUA6NLw09EwE0CqkOc4q9oUmW1yo/edit?usp=sharing"",""อุทัยธานี!I271"")"),20)</f>
        <v>20</v>
      </c>
      <c r="J376" s="198">
        <f ca="1">IFERROR(__xludf.DUMMYFUNCTION("IMPORTRANGE(""https://docs.google.com/spreadsheets/d/11923uPwbBZFjjGgGUA6NLw09EwE0CqkOc4q9oUmW1yo/edit?usp=sharing"",""อุทัยธานี!J271"")"),20)</f>
        <v>20</v>
      </c>
      <c r="K376" s="171">
        <f t="shared" ca="1" si="107"/>
        <v>100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IFERROR(__xludf.DUMMYFUNCTION("IMPORTRANGE(""https://docs.google.com/spreadsheets/d/11923uPwbBZFjjGgGUA6NLw09EwE0CqkOc4q9oUmW1yo/edit?usp=sharing"",""อุทัยธานี!I272"")"),50)</f>
        <v>50</v>
      </c>
      <c r="J377" s="213">
        <f ca="1">IFERROR(__xludf.DUMMYFUNCTION("IMPORTRANGE(""https://docs.google.com/spreadsheets/d/11923uPwbBZFjjGgGUA6NLw09EwE0CqkOc4q9oUmW1yo/edit?usp=sharing"",""อุทัยธานี!J272"")"),0)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IFERROR(__xludf.DUMMYFUNCTION("IMPORTRANGE(""https://docs.google.com/spreadsheets/d/11923uPwbBZFjjGgGUA6NLw09EwE0CqkOc4q9oUmW1yo/edit?usp=sharing"",""อุทัยธานี!J273"")"),0)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IFERROR(__xludf.DUMMYFUNCTION("IMPORTRANGE(""https://docs.google.com/spreadsheets/d/11923uPwbBZFjjGgGUA6NLw09EwE0CqkOc4q9oUmW1yo/edit?usp=sharing"",""อุทัยธานี!J274"")"),0)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IFERROR(__xludf.DUMMYFUNCTION("IMPORTRANGE(""https://docs.google.com/spreadsheets/d/11923uPwbBZFjjGgGUA6NLw09EwE0CqkOc4q9oUmW1yo/edit?usp=sharing"",""อุทัยธานี!I275"")"),1000)</f>
        <v>1000</v>
      </c>
      <c r="J380" s="379">
        <f ca="1">IFERROR(__xludf.DUMMYFUNCTION("IMPORTRANGE(""https://docs.google.com/spreadsheets/d/11923uPwbBZFjjGgGUA6NLw09EwE0CqkOc4q9oUmW1yo/edit?usp=sharing"",""อุทัยธานี!J275"")"),0)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IFERROR(__xludf.DUMMYFUNCTION("IMPORTRANGE(""https://docs.google.com/spreadsheets/d/11923uPwbBZFjjGgGUA6NLw09EwE0CqkOc4q9oUmW1yo/edit?usp=sharing"",""อุทัยธานี!L275"")"),1028520)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IFERROR(__xludf.DUMMYFUNCTION("IMPORTRANGE(""https://docs.google.com/spreadsheets/d/11923uPwbBZFjjGgGUA6NLw09EwE0CqkOc4q9oUmW1yo/edit?usp=sharing"",""อุทัยธานี!M275"")"),171791)</f>
        <v>171791</v>
      </c>
      <c r="O380" s="381">
        <f ca="1">+IF(L380&gt;0,N380*100/L380,0)</f>
        <v>16.702737914673513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IFERROR(__xludf.DUMMYFUNCTION("IMPORTRANGE(""https://docs.google.com/spreadsheets/d/11923uPwbBZFjjGgGUA6NLw09EwE0CqkOc4q9oUmW1yo/edit?usp=sharing"",""อุทัยธานี!I276"")"),100)</f>
        <v>100</v>
      </c>
      <c r="J381" s="379">
        <f ca="1">IFERROR(__xludf.DUMMYFUNCTION("IMPORTRANGE(""https://docs.google.com/spreadsheets/d/11923uPwbBZFjjGgGUA6NLw09EwE0CqkOc4q9oUmW1yo/edit?usp=sharing"",""อุทัยธานี!J276"")"),100)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IFERROR(__xludf.DUMMYFUNCTION("IMPORTRANGE(""https://docs.google.com/spreadsheets/d/11923uPwbBZFjjGgGUA6NLw09EwE0CqkOc4q9oUmW1yo/edit?usp=sharing"",""อุทัยธานี!L277"")"),0)</f>
        <v>0</v>
      </c>
      <c r="M382" s="172"/>
      <c r="N382" s="172">
        <f ca="1">IFERROR(__xludf.DUMMYFUNCTION("IMPORTRANGE(""https://docs.google.com/spreadsheets/d/11923uPwbBZFjjGgGUA6NLw09EwE0CqkOc4q9oUmW1yo/edit?usp=sharing"",""อุทัยธานี!M277"")"),0)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IFERROR(__xludf.DUMMYFUNCTION("IMPORTRANGE(""https://docs.google.com/spreadsheets/d/11923uPwbBZFjjGgGUA6NLw09EwE0CqkOc4q9oUmW1yo/edit?usp=sharing"",""อุทัยธานี!L278"")"),1028520)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IFERROR(__xludf.DUMMYFUNCTION("IMPORTRANGE(""https://docs.google.com/spreadsheets/d/11923uPwbBZFjjGgGUA6NLw09EwE0CqkOc4q9oUmW1yo/edit?usp=sharing"",""อุทัยธานี!M278"")"),171791)</f>
        <v>171791</v>
      </c>
      <c r="O383" s="173">
        <f t="shared" ca="1" si="109"/>
        <v>16.702737914673513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IFERROR(__xludf.DUMMYFUNCTION("IMPORTRANGE(""https://docs.google.com/spreadsheets/d/11923uPwbBZFjjGgGUA6NLw09EwE0CqkOc4q9oUmW1yo/edit?usp=sharing"",""อุทัยธานี!L279"")"),0)</f>
        <v>0</v>
      </c>
      <c r="M384" s="178"/>
      <c r="N384" s="178">
        <f ca="1">IFERROR(__xludf.DUMMYFUNCTION("IMPORTRANGE(""https://docs.google.com/spreadsheets/d/11923uPwbBZFjjGgGUA6NLw09EwE0CqkOc4q9oUmW1yo/edit?usp=sharing"",""อุทัยธานี!M279"")"),0)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IFERROR(__xludf.DUMMYFUNCTION("IMPORTRANGE(""https://docs.google.com/spreadsheets/d/11923uPwbBZFjjGgGUA6NLw09EwE0CqkOc4q9oUmW1yo/edit?usp=sharing"",""อุทัยธานี!L280"")"),1028520)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IFERROR(__xludf.DUMMYFUNCTION("IMPORTRANGE(""https://docs.google.com/spreadsheets/d/11923uPwbBZFjjGgGUA6NLw09EwE0CqkOc4q9oUmW1yo/edit?usp=sharing"",""อุทัยธานี!M280"")"),171791)</f>
        <v>171791</v>
      </c>
      <c r="O385" s="178">
        <f t="shared" ca="1" si="109"/>
        <v>16.702737914673513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IFERROR(__xludf.DUMMYFUNCTION("IMPORTRANGE(""https://docs.google.com/spreadsheets/d/11923uPwbBZFjjGgGUA6NLw09EwE0CqkOc4q9oUmW1yo/edit?usp=sharing"",""อุทัยธานี!M281"")"),125940)</f>
        <v>125940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IFERROR(__xludf.DUMMYFUNCTION("IMPORTRANGE(""https://docs.google.com/spreadsheets/d/11923uPwbBZFjjGgGUA6NLw09EwE0CqkOc4q9oUmW1yo/edit?usp=sharing"",""อุทัยธานี!M282"")"),0)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IFERROR(__xludf.DUMMYFUNCTION("IMPORTRANGE(""https://docs.google.com/spreadsheets/d/11923uPwbBZFjjGgGUA6NLw09EwE0CqkOc4q9oUmW1yo/edit?usp=sharing"",""อุทัยธานี!M283"")"),30491)</f>
        <v>30491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IFERROR(__xludf.DUMMYFUNCTION("IMPORTRANGE(""https://docs.google.com/spreadsheets/d/11923uPwbBZFjjGgGUA6NLw09EwE0CqkOc4q9oUmW1yo/edit?usp=sharing"",""อุทัยธานี!M284"")"),15360)</f>
        <v>15360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IFERROR(__xludf.DUMMYFUNCTION("IMPORTRANGE(""https://docs.google.com/spreadsheets/d/11923uPwbBZFjjGgGUA6NLw09EwE0CqkOc4q9oUmW1yo/edit?usp=sharing"",""อุทัยธานี!J286"")"),0)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IFERROR(__xludf.DUMMYFUNCTION("IMPORTRANGE(""https://docs.google.com/spreadsheets/d/11923uPwbBZFjjGgGUA6NLw09EwE0CqkOc4q9oUmW1yo/edit?usp=sharing"",""อุทัยธานี!J287"")"),1)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IFERROR(__xludf.DUMMYFUNCTION("IMPORTRANGE(""https://docs.google.com/spreadsheets/d/11923uPwbBZFjjGgGUA6NLw09EwE0CqkOc4q9oUmW1yo/edit?usp=sharing"",""อุทัยธานี!J288"")"),0)</f>
        <v>0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IFERROR(__xludf.DUMMYFUNCTION("IMPORTRANGE(""https://docs.google.com/spreadsheets/d/11923uPwbBZFjjGgGUA6NLw09EwE0CqkOc4q9oUmW1yo/edit?usp=sharing"",""อุทัยธานี!J289"")"),0)</f>
        <v>0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IFERROR(__xludf.DUMMYFUNCTION("IMPORTRANGE(""https://docs.google.com/spreadsheets/d/11923uPwbBZFjjGgGUA6NLw09EwE0CqkOc4q9oUmW1yo/edit?usp=sharing"",""อุทัยธานี!I291"")"),100)</f>
        <v>100</v>
      </c>
      <c r="J396" s="207">
        <f ca="1">IFERROR(__xludf.DUMMYFUNCTION("IMPORTRANGE(""https://docs.google.com/spreadsheets/d/11923uPwbBZFjjGgGUA6NLw09EwE0CqkOc4q9oUmW1yo/edit?usp=sharing"",""อุทัยธานี!J291"")"),100)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IFERROR(__xludf.DUMMYFUNCTION("IMPORTRANGE(""https://docs.google.com/spreadsheets/d/11923uPwbBZFjjGgGUA6NLw09EwE0CqkOc4q9oUmW1yo/edit?usp=sharing"",""อุทัยธานี!I292"")"),1000)</f>
        <v>1000</v>
      </c>
      <c r="J397" s="207">
        <f ca="1">IFERROR(__xludf.DUMMYFUNCTION("IMPORTRANGE(""https://docs.google.com/spreadsheets/d/11923uPwbBZFjjGgGUA6NLw09EwE0CqkOc4q9oUmW1yo/edit?usp=sharing"",""อุทัยธานี!J292"")"),0)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IFERROR(__xludf.DUMMYFUNCTION("IMPORTRANGE(""https://docs.google.com/spreadsheets/d/11923uPwbBZFjjGgGUA6NLw09EwE0CqkOc4q9oUmW1yo/edit?usp=sharing"",""อุทัยธานี!I293"")"),100)</f>
        <v>100</v>
      </c>
      <c r="J398" s="207">
        <f ca="1">IFERROR(__xludf.DUMMYFUNCTION("IMPORTRANGE(""https://docs.google.com/spreadsheets/d/11923uPwbBZFjjGgGUA6NLw09EwE0CqkOc4q9oUmW1yo/edit?usp=sharing"",""อุทัยธานี!J293"")"),0)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IFERROR(__xludf.DUMMYFUNCTION("IMPORTRANGE(""https://docs.google.com/spreadsheets/d/11923uPwbBZFjjGgGUA6NLw09EwE0CqkOc4q9oUmW1yo/edit?usp=sharing"",""อุทัยธานี!J294"")"),0)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IFERROR(__xludf.DUMMYFUNCTION("IMPORTRANGE(""https://docs.google.com/spreadsheets/d/11923uPwbBZFjjGgGUA6NLw09EwE0CqkOc4q9oUmW1yo/edit?usp=sharing"",""อุทัยธานี!J295"")"),0)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IFERROR(__xludf.DUMMYFUNCTION("IMPORTRANGE(""https://docs.google.com/spreadsheets/d/11923uPwbBZFjjGgGUA6NLw09EwE0CqkOc4q9oUmW1yo/edit?usp=sharing"",""อุทัยธานี!I296"")"),150)</f>
        <v>150</v>
      </c>
      <c r="J401" s="379">
        <f ca="1">IFERROR(__xludf.DUMMYFUNCTION("IMPORTRANGE(""https://docs.google.com/spreadsheets/d/11923uPwbBZFjjGgGUA6NLw09EwE0CqkOc4q9oUmW1yo/edit?usp=sharing"",""อุทัยธานี!J296"")"),0)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IFERROR(__xludf.DUMMYFUNCTION("IMPORTRANGE(""https://docs.google.com/spreadsheets/d/11923uPwbBZFjjGgGUA6NLw09EwE0CqkOc4q9oUmW1yo/edit?usp=sharing"",""อุทัยธานี!L296"")"),177900)</f>
        <v>177900</v>
      </c>
      <c r="M401" s="381"/>
      <c r="N401" s="381">
        <f ca="1">IFERROR(__xludf.DUMMYFUNCTION("IMPORTRANGE(""https://docs.google.com/spreadsheets/d/11923uPwbBZFjjGgGUA6NLw09EwE0CqkOc4q9oUmW1yo/edit?usp=sharing"",""อุทัยธานี!M296"")"),28050)</f>
        <v>28050</v>
      </c>
      <c r="O401" s="381">
        <f ca="1">+IF(L401&gt;0,N401*100/L401,0)</f>
        <v>15.767284991568296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IFERROR(__xludf.DUMMYFUNCTION("IMPORTRANGE(""https://docs.google.com/spreadsheets/d/11923uPwbBZFjjGgGUA6NLw09EwE0CqkOc4q9oUmW1yo/edit?usp=sharing"",""อุทัยธานี!I297"")"),50)</f>
        <v>50</v>
      </c>
      <c r="J402" s="379">
        <f ca="1">IFERROR(__xludf.DUMMYFUNCTION("IMPORTRANGE(""https://docs.google.com/spreadsheets/d/11923uPwbBZFjjGgGUA6NLw09EwE0CqkOc4q9oUmW1yo/edit?usp=sharing"",""อุทัยธานี!J297"")"),0)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IFERROR(__xludf.DUMMYFUNCTION("IMPORTRANGE(""https://docs.google.com/spreadsheets/d/11923uPwbBZFjjGgGUA6NLw09EwE0CqkOc4q9oUmW1yo/edit?usp=sharing"",""อุทัยธานี!L298"")"),0)</f>
        <v>0</v>
      </c>
      <c r="M403" s="172"/>
      <c r="N403" s="178">
        <f ca="1">IFERROR(__xludf.DUMMYFUNCTION("IMPORTRANGE(""https://docs.google.com/spreadsheets/d/11923uPwbBZFjjGgGUA6NLw09EwE0CqkOc4q9oUmW1yo/edit?usp=sharing"",""อุทัยธานี!M298"")"),0)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IFERROR(__xludf.DUMMYFUNCTION("IMPORTRANGE(""https://docs.google.com/spreadsheets/d/11923uPwbBZFjjGgGUA6NLw09EwE0CqkOc4q9oUmW1yo/edit?usp=sharing"",""อุทัยธานี!L299"")"),177900)</f>
        <v>177900</v>
      </c>
      <c r="M404" s="173"/>
      <c r="N404" s="178">
        <f ca="1">IFERROR(__xludf.DUMMYFUNCTION("IMPORTRANGE(""https://docs.google.com/spreadsheets/d/11923uPwbBZFjjGgGUA6NLw09EwE0CqkOc4q9oUmW1yo/edit?usp=sharing"",""อุทัยธานี!M299"")"),28050)</f>
        <v>28050</v>
      </c>
      <c r="O404" s="178">
        <f t="shared" ca="1" si="112"/>
        <v>15.767284991568296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IFERROR(__xludf.DUMMYFUNCTION("IMPORTRANGE(""https://docs.google.com/spreadsheets/d/11923uPwbBZFjjGgGUA6NLw09EwE0CqkOc4q9oUmW1yo/edit?usp=sharing"",""อุทัยธานี!L300"")"),0)</f>
        <v>0</v>
      </c>
      <c r="M405" s="178"/>
      <c r="N405" s="178">
        <f ca="1">IFERROR(__xludf.DUMMYFUNCTION("IMPORTRANGE(""https://docs.google.com/spreadsheets/d/11923uPwbBZFjjGgGUA6NLw09EwE0CqkOc4q9oUmW1yo/edit?usp=sharing"",""อุทัยธานี!M300"")"),0)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IFERROR(__xludf.DUMMYFUNCTION("IMPORTRANGE(""https://docs.google.com/spreadsheets/d/11923uPwbBZFjjGgGUA6NLw09EwE0CqkOc4q9oUmW1yo/edit?usp=sharing"",""อุทัยธานี!L301"")"),177900)</f>
        <v>177900</v>
      </c>
      <c r="M406" s="178"/>
      <c r="N406" s="178">
        <f ca="1">IFERROR(__xludf.DUMMYFUNCTION("IMPORTRANGE(""https://docs.google.com/spreadsheets/d/11923uPwbBZFjjGgGUA6NLw09EwE0CqkOc4q9oUmW1yo/edit?usp=sharing"",""อุทัยธานี!M301"")"),28050)</f>
        <v>28050</v>
      </c>
      <c r="O406" s="178">
        <f t="shared" ca="1" si="112"/>
        <v>15.767284991568296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IFERROR(__xludf.DUMMYFUNCTION("IMPORTRANGE(""https://docs.google.com/spreadsheets/d/11923uPwbBZFjjGgGUA6NLw09EwE0CqkOc4q9oUmW1yo/edit?usp=sharing"",""อุทัยธานี!M302"")"),14990)</f>
        <v>14990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IFERROR(__xludf.DUMMYFUNCTION("IMPORTRANGE(""https://docs.google.com/spreadsheets/d/11923uPwbBZFjjGgGUA6NLw09EwE0CqkOc4q9oUmW1yo/edit?usp=sharing"",""อุทัยธานี!M303"")"),0)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IFERROR(__xludf.DUMMYFUNCTION("IMPORTRANGE(""https://docs.google.com/spreadsheets/d/11923uPwbBZFjjGgGUA6NLw09EwE0CqkOc4q9oUmW1yo/edit?usp=sharing"",""อุทัยธานี!M304"")"),0)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IFERROR(__xludf.DUMMYFUNCTION("IMPORTRANGE(""https://docs.google.com/spreadsheets/d/11923uPwbBZFjjGgGUA6NLw09EwE0CqkOc4q9oUmW1yo/edit?usp=sharing"",""อุทัยธานี!M305"")"),13060)</f>
        <v>13060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IFERROR(__xludf.DUMMYFUNCTION("IMPORTRANGE(""https://docs.google.com/spreadsheets/d/11923uPwbBZFjjGgGUA6NLw09EwE0CqkOc4q9oUmW1yo/edit?usp=sharing"",""อุทัยธานี!J307"")"),0)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IFERROR(__xludf.DUMMYFUNCTION("IMPORTRANGE(""https://docs.google.com/spreadsheets/d/11923uPwbBZFjjGgGUA6NLw09EwE0CqkOc4q9oUmW1yo/edit?usp=sharing"",""อุทัยธานี!J308"")"),1)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IFERROR(__xludf.DUMMYFUNCTION("IMPORTRANGE(""https://docs.google.com/spreadsheets/d/11923uPwbBZFjjGgGUA6NLw09EwE0CqkOc4q9oUmW1yo/edit?usp=sharing"",""อุทัยธานี!J309"")"),0)</f>
        <v>0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IFERROR(__xludf.DUMMYFUNCTION("IMPORTRANGE(""https://docs.google.com/spreadsheets/d/11923uPwbBZFjjGgGUA6NLw09EwE0CqkOc4q9oUmW1yo/edit?usp=sharing"",""อุทัยธานี!J310"")"),0)</f>
        <v>0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IFERROR(__xludf.DUMMYFUNCTION("IMPORTRANGE(""https://docs.google.com/spreadsheets/d/11923uPwbBZFjjGgGUA6NLw09EwE0CqkOc4q9oUmW1yo/edit?usp=sharing"",""อุทัยธานี!I311"")"),50)</f>
        <v>50</v>
      </c>
      <c r="J416" s="210">
        <f ca="1">IFERROR(__xludf.DUMMYFUNCTION("IMPORTRANGE(""https://docs.google.com/spreadsheets/d/11923uPwbBZFjjGgGUA6NLw09EwE0CqkOc4q9oUmW1yo/edit?usp=sharing"",""อุทัยธานี!J311"")"),0)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IFERROR(__xludf.DUMMYFUNCTION("IMPORTRANGE(""https://docs.google.com/spreadsheets/d/11923uPwbBZFjjGgGUA6NLw09EwE0CqkOc4q9oUmW1yo/edit?usp=sharing"",""อุทัยธานี!I312"")"),20)</f>
        <v>20</v>
      </c>
      <c r="J417" s="400">
        <f ca="1">IFERROR(__xludf.DUMMYFUNCTION("IMPORTRANGE(""https://docs.google.com/spreadsheets/d/11923uPwbBZFjjGgGUA6NLw09EwE0CqkOc4q9oUmW1yo/edit?usp=sharing"",""อุทัยธานี!J312"")"),0)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IFERROR(__xludf.DUMMYFUNCTION("IMPORTRANGE(""https://docs.google.com/spreadsheets/d/11923uPwbBZFjjGgGUA6NLw09EwE0CqkOc4q9oUmW1yo/edit?usp=sharing"",""อุทัยธานี!I313"")"),60)</f>
        <v>60</v>
      </c>
      <c r="J418" s="401">
        <f ca="1">IFERROR(__xludf.DUMMYFUNCTION("IMPORTRANGE(""https://docs.google.com/spreadsheets/d/11923uPwbBZFjjGgGUA6NLw09EwE0CqkOc4q9oUmW1yo/edit?usp=sharing"",""อุทัยธานี!J313"")"),0)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IFERROR(__xludf.DUMMYFUNCTION("IMPORTRANGE(""https://docs.google.com/spreadsheets/d/11923uPwbBZFjjGgGUA6NLw09EwE0CqkOc4q9oUmW1yo/edit?usp=sharing"",""อุทัยธานี!I314"")"),20)</f>
        <v>20</v>
      </c>
      <c r="J419" s="402">
        <f ca="1">IFERROR(__xludf.DUMMYFUNCTION("IMPORTRANGE(""https://docs.google.com/spreadsheets/d/11923uPwbBZFjjGgGUA6NLw09EwE0CqkOc4q9oUmW1yo/edit?usp=sharing"",""อุทัยธานี!J314"")"),0)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IFERROR(__xludf.DUMMYFUNCTION("IMPORTRANGE(""https://docs.google.com/spreadsheets/d/11923uPwbBZFjjGgGUA6NLw09EwE0CqkOc4q9oUmW1yo/edit?usp=sharing"",""อุทัยธานี!I315"")"),20)</f>
        <v>20</v>
      </c>
      <c r="J420" s="402">
        <f ca="1">IFERROR(__xludf.DUMMYFUNCTION("IMPORTRANGE(""https://docs.google.com/spreadsheets/d/11923uPwbBZFjjGgGUA6NLw09EwE0CqkOc4q9oUmW1yo/edit?usp=sharing"",""อุทัยธานี!J315"")"),20)</f>
        <v>20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IFERROR(__xludf.DUMMYFUNCTION("IMPORTRANGE(""https://docs.google.com/spreadsheets/d/11923uPwbBZFjjGgGUA6NLw09EwE0CqkOc4q9oUmW1yo/edit?usp=sharing"",""อุทัยธานี!I316"")"),20)</f>
        <v>20</v>
      </c>
      <c r="J421" s="400">
        <f ca="1">IFERROR(__xludf.DUMMYFUNCTION("IMPORTRANGE(""https://docs.google.com/spreadsheets/d/11923uPwbBZFjjGgGUA6NLw09EwE0CqkOc4q9oUmW1yo/edit?usp=sharing"",""อุทัยธานี!J316"")"),0)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IFERROR(__xludf.DUMMYFUNCTION("IMPORTRANGE(""https://docs.google.com/spreadsheets/d/11923uPwbBZFjjGgGUA6NLw09EwE0CqkOc4q9oUmW1yo/edit?usp=sharing"",""อุทัยธานี!I317"")"),60)</f>
        <v>60</v>
      </c>
      <c r="J422" s="401">
        <f ca="1">IFERROR(__xludf.DUMMYFUNCTION("IMPORTRANGE(""https://docs.google.com/spreadsheets/d/11923uPwbBZFjjGgGUA6NLw09EwE0CqkOc4q9oUmW1yo/edit?usp=sharing"",""อุทัยธานี!J317"")"),0)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IFERROR(__xludf.DUMMYFUNCTION("IMPORTRANGE(""https://docs.google.com/spreadsheets/d/11923uPwbBZFjjGgGUA6NLw09EwE0CqkOc4q9oUmW1yo/edit?usp=sharing"",""อุทัยธานี!I318"")"),20)</f>
        <v>20</v>
      </c>
      <c r="J423" s="402">
        <f ca="1">IFERROR(__xludf.DUMMYFUNCTION("IMPORTRANGE(""https://docs.google.com/spreadsheets/d/11923uPwbBZFjjGgGUA6NLw09EwE0CqkOc4q9oUmW1yo/edit?usp=sharing"",""อุทัยธานี!J318"")"),0)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IFERROR(__xludf.DUMMYFUNCTION("IMPORTRANGE(""https://docs.google.com/spreadsheets/d/11923uPwbBZFjjGgGUA6NLw09EwE0CqkOc4q9oUmW1yo/edit?usp=sharing"",""อุทัยธานี!I319"")"),20)</f>
        <v>20</v>
      </c>
      <c r="J424" s="402">
        <f ca="1">IFERROR(__xludf.DUMMYFUNCTION("IMPORTRANGE(""https://docs.google.com/spreadsheets/d/11923uPwbBZFjjGgGUA6NLw09EwE0CqkOc4q9oUmW1yo/edit?usp=sharing"",""อุทัยธานี!J319"")"),0)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IFERROR(__xludf.DUMMYFUNCTION("IMPORTRANGE(""https://docs.google.com/spreadsheets/d/11923uPwbBZFjjGgGUA6NLw09EwE0CqkOc4q9oUmW1yo/edit?usp=sharing"",""อุทัยธานี!I320"")"),20)</f>
        <v>20</v>
      </c>
      <c r="J425" s="402">
        <f ca="1">IFERROR(__xludf.DUMMYFUNCTION("IMPORTRANGE(""https://docs.google.com/spreadsheets/d/11923uPwbBZFjjGgGUA6NLw09EwE0CqkOc4q9oUmW1yo/edit?usp=sharing"",""อุทัยธานี!J320"")"),0)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IFERROR(__xludf.DUMMYFUNCTION("IMPORTRANGE(""https://docs.google.com/spreadsheets/d/11923uPwbBZFjjGgGUA6NLw09EwE0CqkOc4q9oUmW1yo/edit?usp=sharing"",""อุทัยธานี!I321"")"),10)</f>
        <v>10</v>
      </c>
      <c r="J426" s="400">
        <f ca="1">IFERROR(__xludf.DUMMYFUNCTION("IMPORTRANGE(""https://docs.google.com/spreadsheets/d/11923uPwbBZFjjGgGUA6NLw09EwE0CqkOc4q9oUmW1yo/edit?usp=sharing"",""อุทัยธานี!J321"")"),0)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IFERROR(__xludf.DUMMYFUNCTION("IMPORTRANGE(""https://docs.google.com/spreadsheets/d/11923uPwbBZFjjGgGUA6NLw09EwE0CqkOc4q9oUmW1yo/edit?usp=sharing"",""อุทัยธานี!I322"")"),30)</f>
        <v>30</v>
      </c>
      <c r="J427" s="401">
        <f ca="1">IFERROR(__xludf.DUMMYFUNCTION("IMPORTRANGE(""https://docs.google.com/spreadsheets/d/11923uPwbBZFjjGgGUA6NLw09EwE0CqkOc4q9oUmW1yo/edit?usp=sharing"",""อุทัยธานี!J322"")"),0)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IFERROR(__xludf.DUMMYFUNCTION("IMPORTRANGE(""https://docs.google.com/spreadsheets/d/11923uPwbBZFjjGgGUA6NLw09EwE0CqkOc4q9oUmW1yo/edit?usp=sharing"",""อุทัยธานี!I323"")"),10)</f>
        <v>10</v>
      </c>
      <c r="J428" s="402">
        <f ca="1">IFERROR(__xludf.DUMMYFUNCTION("IMPORTRANGE(""https://docs.google.com/spreadsheets/d/11923uPwbBZFjjGgGUA6NLw09EwE0CqkOc4q9oUmW1yo/edit?usp=sharing"",""อุทัยธานี!J323"")"),10)</f>
        <v>10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IFERROR(__xludf.DUMMYFUNCTION("IMPORTRANGE(""https://docs.google.com/spreadsheets/d/11923uPwbBZFjjGgGUA6NLw09EwE0CqkOc4q9oUmW1yo/edit?usp=sharing"",""อุทัยธานี!I324"")"),10)</f>
        <v>10</v>
      </c>
      <c r="J429" s="402">
        <f ca="1">IFERROR(__xludf.DUMMYFUNCTION("IMPORTRANGE(""https://docs.google.com/spreadsheets/d/11923uPwbBZFjjGgGUA6NLw09EwE0CqkOc4q9oUmW1yo/edit?usp=sharing"",""อุทัยธานี!J324"")"),0)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IFERROR(__xludf.DUMMYFUNCTION("IMPORTRANGE(""https://docs.google.com/spreadsheets/d/11923uPwbBZFjjGgGUA6NLw09EwE0CqkOc4q9oUmW1yo/edit?usp=sharing"",""อุทัยธานี!I325"")"),40)</f>
        <v>40</v>
      </c>
      <c r="J430" s="400">
        <f ca="1">IFERROR(__xludf.DUMMYFUNCTION("IMPORTRANGE(""https://docs.google.com/spreadsheets/d/11923uPwbBZFjjGgGUA6NLw09EwE0CqkOc4q9oUmW1yo/edit?usp=sharing"",""อุทัยธานี!J325"")"),0)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IFERROR(__xludf.DUMMYFUNCTION("IMPORTRANGE(""https://docs.google.com/spreadsheets/d/11923uPwbBZFjjGgGUA6NLw09EwE0CqkOc4q9oUmW1yo/edit?usp=sharing"",""อุทัยธานี!I326"")"),20)</f>
        <v>20</v>
      </c>
      <c r="J431" s="402">
        <f ca="1">IFERROR(__xludf.DUMMYFUNCTION("IMPORTRANGE(""https://docs.google.com/spreadsheets/d/11923uPwbBZFjjGgGUA6NLw09EwE0CqkOc4q9oUmW1yo/edit?usp=sharing"",""อุทัยธานี!J326"")"),0)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IFERROR(__xludf.DUMMYFUNCTION("IMPORTRANGE(""https://docs.google.com/spreadsheets/d/11923uPwbBZFjjGgGUA6NLw09EwE0CqkOc4q9oUmW1yo/edit?usp=sharing"",""อุทัยธานี!I327"")"),20)</f>
        <v>20</v>
      </c>
      <c r="J432" s="402">
        <f ca="1">IFERROR(__xludf.DUMMYFUNCTION("IMPORTRANGE(""https://docs.google.com/spreadsheets/d/11923uPwbBZFjjGgGUA6NLw09EwE0CqkOc4q9oUmW1yo/edit?usp=sharing"",""อุทัยธานี!J327"")"),0)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IFERROR(__xludf.DUMMYFUNCTION("IMPORTRANGE(""https://docs.google.com/spreadsheets/d/11923uPwbBZFjjGgGUA6NLw09EwE0CqkOc4q9oUmW1yo/edit?usp=sharing"",""อุทัยธานี!J328"")"),0)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IFERROR(__xludf.DUMMYFUNCTION("IMPORTRANGE(""https://docs.google.com/spreadsheets/d/11923uPwbBZFjjGgGUA6NLw09EwE0CqkOc4q9oUmW1yo/edit?usp=sharing"",""อุทัยธานี!J329"")"),0)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IFERROR(__xludf.DUMMYFUNCTION("IMPORTRANGE(""https://docs.google.com/spreadsheets/d/11923uPwbBZFjjGgGUA6NLw09EwE0CqkOc4q9oUmW1yo/edit?usp=sharing"",""อุทัยธานี!I330"")"),15)</f>
        <v>15</v>
      </c>
      <c r="J435" s="418">
        <f ca="1">IFERROR(__xludf.DUMMYFUNCTION("IMPORTRANGE(""https://docs.google.com/spreadsheets/d/11923uPwbBZFjjGgGUA6NLw09EwE0CqkOc4q9oUmW1yo/edit?usp=sharing"",""อุทัยธานี!J330"")"),15)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IFERROR(__xludf.DUMMYFUNCTION("IMPORTRANGE(""https://docs.google.com/spreadsheets/d/11923uPwbBZFjjGgGUA6NLw09EwE0CqkOc4q9oUmW1yo/edit?usp=sharing"",""อุทัยธานี!L330"")"),83000)</f>
        <v>83000</v>
      </c>
      <c r="M435" s="420"/>
      <c r="N435" s="420">
        <f ca="1">IFERROR(__xludf.DUMMYFUNCTION("IMPORTRANGE(""https://docs.google.com/spreadsheets/d/11923uPwbBZFjjGgGUA6NLw09EwE0CqkOc4q9oUmW1yo/edit?usp=sharing"",""อุทัยธานี!M330"")"),49090)</f>
        <v>49090</v>
      </c>
      <c r="O435" s="420">
        <f t="shared" ref="O435:O439" ca="1" si="114">+IF(L435&gt;0,N435*100/L435,0)</f>
        <v>59.144578313253014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IFERROR(__xludf.DUMMYFUNCTION("IMPORTRANGE(""https://docs.google.com/spreadsheets/d/11923uPwbBZFjjGgGUA6NLw09EwE0CqkOc4q9oUmW1yo/edit?usp=sharing"",""อุทัยธานี!L331"")"),0)</f>
        <v>0</v>
      </c>
      <c r="M436" s="172"/>
      <c r="N436" s="178">
        <f ca="1">IFERROR(__xludf.DUMMYFUNCTION("IMPORTRANGE(""https://docs.google.com/spreadsheets/d/11923uPwbBZFjjGgGUA6NLw09EwE0CqkOc4q9oUmW1yo/edit?usp=sharing"",""อุทัยธานี!M331"")"),0)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IFERROR(__xludf.DUMMYFUNCTION("IMPORTRANGE(""https://docs.google.com/spreadsheets/d/11923uPwbBZFjjGgGUA6NLw09EwE0CqkOc4q9oUmW1yo/edit?usp=sharing"",""อุทัยธานี!L332"")"),83000)</f>
        <v>83000</v>
      </c>
      <c r="M437" s="173"/>
      <c r="N437" s="178">
        <f ca="1">IFERROR(__xludf.DUMMYFUNCTION("IMPORTRANGE(""https://docs.google.com/spreadsheets/d/11923uPwbBZFjjGgGUA6NLw09EwE0CqkOc4q9oUmW1yo/edit?usp=sharing"",""อุทัยธานี!M332"")"),49090)</f>
        <v>49090</v>
      </c>
      <c r="O437" s="178">
        <f t="shared" ca="1" si="114"/>
        <v>59.144578313253014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IFERROR(__xludf.DUMMYFUNCTION("IMPORTRANGE(""https://docs.google.com/spreadsheets/d/11923uPwbBZFjjGgGUA6NLw09EwE0CqkOc4q9oUmW1yo/edit?usp=sharing"",""อุทัยธานี!L333"")"),0)</f>
        <v>0</v>
      </c>
      <c r="M438" s="178"/>
      <c r="N438" s="178">
        <f ca="1">IFERROR(__xludf.DUMMYFUNCTION("IMPORTRANGE(""https://docs.google.com/spreadsheets/d/11923uPwbBZFjjGgGUA6NLw09EwE0CqkOc4q9oUmW1yo/edit?usp=sharing"",""อุทัยธานี!M333"")"),0)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IFERROR(__xludf.DUMMYFUNCTION("IMPORTRANGE(""https://docs.google.com/spreadsheets/d/11923uPwbBZFjjGgGUA6NLw09EwE0CqkOc4q9oUmW1yo/edit?usp=sharing"",""อุทัยธานี!L334"")"),83000)</f>
        <v>83000</v>
      </c>
      <c r="M439" s="178"/>
      <c r="N439" s="178">
        <f ca="1">IFERROR(__xludf.DUMMYFUNCTION("IMPORTRANGE(""https://docs.google.com/spreadsheets/d/11923uPwbBZFjjGgGUA6NLw09EwE0CqkOc4q9oUmW1yo/edit?usp=sharing"",""อุทัยธานี!M334"")"),49090)</f>
        <v>49090</v>
      </c>
      <c r="O439" s="178">
        <f t="shared" ca="1" si="114"/>
        <v>59.144578313253014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IFERROR(__xludf.DUMMYFUNCTION("IMPORTRANGE(""https://docs.google.com/spreadsheets/d/11923uPwbBZFjjGgGUA6NLw09EwE0CqkOc4q9oUmW1yo/edit?usp=sharing"",""อุทัยธานี!M335"")"),32200)</f>
        <v>32200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IFERROR(__xludf.DUMMYFUNCTION("IMPORTRANGE(""https://docs.google.com/spreadsheets/d/11923uPwbBZFjjGgGUA6NLw09EwE0CqkOc4q9oUmW1yo/edit?usp=sharing"",""อุทัยธานี!M336"")"),0)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IFERROR(__xludf.DUMMYFUNCTION("IMPORTRANGE(""https://docs.google.com/spreadsheets/d/11923uPwbBZFjjGgGUA6NLw09EwE0CqkOc4q9oUmW1yo/edit?usp=sharing"",""อุทัยธานี!M337"")"),0)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IFERROR(__xludf.DUMMYFUNCTION("IMPORTRANGE(""https://docs.google.com/spreadsheets/d/11923uPwbBZFjjGgGUA6NLw09EwE0CqkOc4q9oUmW1yo/edit?usp=sharing"",""อุทัยธานี!M338"")"),16890)</f>
        <v>16890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IFERROR(__xludf.DUMMYFUNCTION("IMPORTRANGE(""https://docs.google.com/spreadsheets/d/11923uPwbBZFjjGgGUA6NLw09EwE0CqkOc4q9oUmW1yo/edit?usp=sharing"",""อุทัยธานี!J340"")"),0)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IFERROR(__xludf.DUMMYFUNCTION("IMPORTRANGE(""https://docs.google.com/spreadsheets/d/11923uPwbBZFjjGgGUA6NLw09EwE0CqkOc4q9oUmW1yo/edit?usp=sharing"",""อุทัยธานี!J341"")"),1)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IFERROR(__xludf.DUMMYFUNCTION("IMPORTRANGE(""https://docs.google.com/spreadsheets/d/11923uPwbBZFjjGgGUA6NLw09EwE0CqkOc4q9oUmW1yo/edit?usp=sharing"",""อุทัยธานี!J342"")"),1)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IFERROR(__xludf.DUMMYFUNCTION("IMPORTRANGE(""https://docs.google.com/spreadsheets/d/11923uPwbBZFjjGgGUA6NLw09EwE0CqkOc4q9oUmW1yo/edit?usp=sharing"",""อุทัยธานี!J343"")"),1)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IFERROR(__xludf.DUMMYFUNCTION("IMPORTRANGE(""https://docs.google.com/spreadsheets/d/11923uPwbBZFjjGgGUA6NLw09EwE0CqkOc4q9oUmW1yo/edit?usp=sharing"",""อุทัยธานี!I344"")"),15)</f>
        <v>15</v>
      </c>
      <c r="J449" s="210">
        <f ca="1">IFERROR(__xludf.DUMMYFUNCTION("IMPORTRANGE(""https://docs.google.com/spreadsheets/d/11923uPwbBZFjjGgGUA6NLw09EwE0CqkOc4q9oUmW1yo/edit?usp=sharing"",""อุทัยธานี!J344"")"),15)</f>
        <v>15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IFERROR(__xludf.DUMMYFUNCTION("IMPORTRANGE(""https://docs.google.com/spreadsheets/d/11923uPwbBZFjjGgGUA6NLw09EwE0CqkOc4q9oUmW1yo/edit?usp=sharing"",""อุทัยธานี!I345"")"),15)</f>
        <v>15</v>
      </c>
      <c r="J450" s="198">
        <f ca="1">IFERROR(__xludf.DUMMYFUNCTION("IMPORTRANGE(""https://docs.google.com/spreadsheets/d/11923uPwbBZFjjGgGUA6NLw09EwE0CqkOc4q9oUmW1yo/edit?usp=sharing"",""อุทัยธานี!J345"")"),15)</f>
        <v>15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IFERROR(__xludf.DUMMYFUNCTION("IMPORTRANGE(""https://docs.google.com/spreadsheets/d/11923uPwbBZFjjGgGUA6NLw09EwE0CqkOc4q9oUmW1yo/edit?usp=sharing"",""อุทัยธานี!I346"")"),0)</f>
        <v>0</v>
      </c>
      <c r="J451" s="197">
        <f ca="1">IFERROR(__xludf.DUMMYFUNCTION("IMPORTRANGE(""https://docs.google.com/spreadsheets/d/11923uPwbBZFjjGgGUA6NLw09EwE0CqkOc4q9oUmW1yo/edit?usp=sharing"",""อุทัยธานี!J346"")"),0)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IFERROR(__xludf.DUMMYFUNCTION("IMPORTRANGE(""https://docs.google.com/spreadsheets/d/11923uPwbBZFjjGgGUA6NLw09EwE0CqkOc4q9oUmW1yo/edit?usp=sharing"",""อุทัยธานี!I347"")"),0)</f>
        <v>0</v>
      </c>
      <c r="J452" s="197">
        <f ca="1">IFERROR(__xludf.DUMMYFUNCTION("IMPORTRANGE(""https://docs.google.com/spreadsheets/d/11923uPwbBZFjjGgGUA6NLw09EwE0CqkOc4q9oUmW1yo/edit?usp=sharing"",""อุทัยธานี!J347"")"),0)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IFERROR(__xludf.DUMMYFUNCTION("IMPORTRANGE(""https://docs.google.com/spreadsheets/d/11923uPwbBZFjjGgGUA6NLw09EwE0CqkOc4q9oUmW1yo/edit?usp=sharing"",""อุทัยธานี!J348"")"),0)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IFERROR(__xludf.DUMMYFUNCTION("IMPORTRANGE(""https://docs.google.com/spreadsheets/d/11923uPwbBZFjjGgGUA6NLw09EwE0CqkOc4q9oUmW1yo/edit?usp=sharing"",""อุทัยธานี!J349"")"),0)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IFERROR(__xludf.DUMMYFUNCTION("IMPORTRANGE(""https://docs.google.com/spreadsheets/d/11923uPwbBZFjjGgGUA6NLw09EwE0CqkOc4q9oUmW1yo/edit?usp=sharing"",""อุทัยธานี!I350"")"),24457)</f>
        <v>24457</v>
      </c>
      <c r="J455" s="379">
        <f ca="1">IFERROR(__xludf.DUMMYFUNCTION("IMPORTRANGE(""https://docs.google.com/spreadsheets/d/11923uPwbBZFjjGgGUA6NLw09EwE0CqkOc4q9oUmW1yo/edit?usp=sharing"",""อุทัยธานี!J350"")"),0)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IFERROR(__xludf.DUMMYFUNCTION("IMPORTRANGE(""https://docs.google.com/spreadsheets/d/11923uPwbBZFjjGgGUA6NLw09EwE0CqkOc4q9oUmW1yo/edit?usp=sharing"",""อุทัยธานี!L350"")"),296488)</f>
        <v>296488</v>
      </c>
      <c r="M455" s="381"/>
      <c r="N455" s="381">
        <f ca="1">IFERROR(__xludf.DUMMYFUNCTION("IMPORTRANGE(""https://docs.google.com/spreadsheets/d/11923uPwbBZFjjGgGUA6NLw09EwE0CqkOc4q9oUmW1yo/edit?usp=sharing"",""อุทัยธานี!M350"")"),14395)</f>
        <v>14395</v>
      </c>
      <c r="O455" s="381">
        <f t="shared" ref="O455:O459" ca="1" si="116">+IF(L455&gt;0,N455*100/L455,0)</f>
        <v>4.8551712042308628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IFERROR(__xludf.DUMMYFUNCTION("IMPORTRANGE(""https://docs.google.com/spreadsheets/d/11923uPwbBZFjjGgGUA6NLw09EwE0CqkOc4q9oUmW1yo/edit?usp=sharing"",""อุทัยธานี!L351"")"),0)</f>
        <v>0</v>
      </c>
      <c r="M456" s="172"/>
      <c r="N456" s="178">
        <f ca="1">IFERROR(__xludf.DUMMYFUNCTION("IMPORTRANGE(""https://docs.google.com/spreadsheets/d/11923uPwbBZFjjGgGUA6NLw09EwE0CqkOc4q9oUmW1yo/edit?usp=sharing"",""อุทัยธานี!M351"")"),0)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IFERROR(__xludf.DUMMYFUNCTION("IMPORTRANGE(""https://docs.google.com/spreadsheets/d/11923uPwbBZFjjGgGUA6NLw09EwE0CqkOc4q9oUmW1yo/edit?usp=sharing"",""อุทัยธานี!L352"")"),296488)</f>
        <v>296488</v>
      </c>
      <c r="M457" s="173"/>
      <c r="N457" s="178">
        <f ca="1">IFERROR(__xludf.DUMMYFUNCTION("IMPORTRANGE(""https://docs.google.com/spreadsheets/d/11923uPwbBZFjjGgGUA6NLw09EwE0CqkOc4q9oUmW1yo/edit?usp=sharing"",""อุทัยธานี!M352"")"),14395)</f>
        <v>14395</v>
      </c>
      <c r="O457" s="178">
        <f t="shared" ca="1" si="116"/>
        <v>4.8551712042308628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IFERROR(__xludf.DUMMYFUNCTION("IMPORTRANGE(""https://docs.google.com/spreadsheets/d/11923uPwbBZFjjGgGUA6NLw09EwE0CqkOc4q9oUmW1yo/edit?usp=sharing"",""อุทัยธานี!L353"")"),0)</f>
        <v>0</v>
      </c>
      <c r="M458" s="178"/>
      <c r="N458" s="178">
        <f ca="1">IFERROR(__xludf.DUMMYFUNCTION("IMPORTRANGE(""https://docs.google.com/spreadsheets/d/11923uPwbBZFjjGgGUA6NLw09EwE0CqkOc4q9oUmW1yo/edit?usp=sharing"",""อุทัยธานี!M353"")"),0)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IFERROR(__xludf.DUMMYFUNCTION("IMPORTRANGE(""https://docs.google.com/spreadsheets/d/11923uPwbBZFjjGgGUA6NLw09EwE0CqkOc4q9oUmW1yo/edit?usp=sharing"",""อุทัยธานี!L354"")"),296488)</f>
        <v>296488</v>
      </c>
      <c r="M459" s="178"/>
      <c r="N459" s="178">
        <f ca="1">IFERROR(__xludf.DUMMYFUNCTION("IMPORTRANGE(""https://docs.google.com/spreadsheets/d/11923uPwbBZFjjGgGUA6NLw09EwE0CqkOc4q9oUmW1yo/edit?usp=sharing"",""อุทัยธานี!M354"")"),14395)</f>
        <v>14395</v>
      </c>
      <c r="O459" s="178">
        <f t="shared" ca="1" si="116"/>
        <v>4.8551712042308628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IFERROR(__xludf.DUMMYFUNCTION("IMPORTRANGE(""https://docs.google.com/spreadsheets/d/11923uPwbBZFjjGgGUA6NLw09EwE0CqkOc4q9oUmW1yo/edit?usp=sharing"",""อุทัยธานี!M355"")"),0)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IFERROR(__xludf.DUMMYFUNCTION("IMPORTRANGE(""https://docs.google.com/spreadsheets/d/11923uPwbBZFjjGgGUA6NLw09EwE0CqkOc4q9oUmW1yo/edit?usp=sharing"",""อุทัยธานี!M356"")"),0)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IFERROR(__xludf.DUMMYFUNCTION("IMPORTRANGE(""https://docs.google.com/spreadsheets/d/11923uPwbBZFjjGgGUA6NLw09EwE0CqkOc4q9oUmW1yo/edit?usp=sharing"",""อุทัยธานี!M357"")"),0)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IFERROR(__xludf.DUMMYFUNCTION("IMPORTRANGE(""https://docs.google.com/spreadsheets/d/11923uPwbBZFjjGgGUA6NLw09EwE0CqkOc4q9oUmW1yo/edit?usp=sharing"",""อุทัยธานี!M358"")"),14395)</f>
        <v>14395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IFERROR(__xludf.DUMMYFUNCTION("IMPORTRANGE(""https://docs.google.com/spreadsheets/d/11923uPwbBZFjjGgGUA6NLw09EwE0CqkOc4q9oUmW1yo/edit?usp=sharing"",""อุทัยธานี!I359"")"),24457)</f>
        <v>24457</v>
      </c>
      <c r="J464" s="276">
        <f ca="1">IFERROR(__xludf.DUMMYFUNCTION("IMPORTRANGE(""https://docs.google.com/spreadsheets/d/11923uPwbBZFjjGgGUA6NLw09EwE0CqkOc4q9oUmW1yo/edit?usp=sharing"",""อุทัยธานี!J359"")"),0)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IFERROR(__xludf.DUMMYFUNCTION("IMPORTRANGE(""https://docs.google.com/spreadsheets/d/11923uPwbBZFjjGgGUA6NLw09EwE0CqkOc4q9oUmW1yo/edit?usp=sharing"",""อุทัยธานี!I360"")"),24457)</f>
        <v>24457</v>
      </c>
      <c r="J465" s="428">
        <f ca="1">IFERROR(__xludf.DUMMYFUNCTION("IMPORTRANGE(""https://docs.google.com/spreadsheets/d/11923uPwbBZFjjGgGUA6NLw09EwE0CqkOc4q9oUmW1yo/edit?usp=sharing"",""อุทัยธานี!J360"")"),20372)</f>
        <v>20372</v>
      </c>
      <c r="K465" s="211">
        <f t="shared" ca="1" si="117"/>
        <v>83.297215521118702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IFERROR(__xludf.DUMMYFUNCTION("IMPORTRANGE(""https://docs.google.com/spreadsheets/d/11923uPwbBZFjjGgGUA6NLw09EwE0CqkOc4q9oUmW1yo/edit?usp=sharing"",""อุทัยธานี!I361"")"),2670)</f>
        <v>2670</v>
      </c>
      <c r="J466" s="428">
        <f ca="1">IFERROR(__xludf.DUMMYFUNCTION("IMPORTRANGE(""https://docs.google.com/spreadsheets/d/11923uPwbBZFjjGgGUA6NLw09EwE0CqkOc4q9oUmW1yo/edit?usp=sharing"",""อุทัยธานี!J361"")"),2252)</f>
        <v>2252</v>
      </c>
      <c r="K466" s="211">
        <f t="shared" ca="1" si="117"/>
        <v>84.344569288389508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IFERROR(__xludf.DUMMYFUNCTION("IMPORTRANGE(""https://docs.google.com/spreadsheets/d/11923uPwbBZFjjGgGUA6NLw09EwE0CqkOc4q9oUmW1yo/edit?usp=sharing"",""อุทัยธานี!I362"")"),0)</f>
        <v>0</v>
      </c>
      <c r="J467" s="198">
        <f ca="1">IFERROR(__xludf.DUMMYFUNCTION("IMPORTRANGE(""https://docs.google.com/spreadsheets/d/11923uPwbBZFjjGgGUA6NLw09EwE0CqkOc4q9oUmW1yo/edit?usp=sharing"",""อุทัยธานี!J362"")"),14954)</f>
        <v>14954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IFERROR(__xludf.DUMMYFUNCTION("IMPORTRANGE(""https://docs.google.com/spreadsheets/d/11923uPwbBZFjjGgGUA6NLw09EwE0CqkOc4q9oUmW1yo/edit?usp=sharing"",""อุทัยธานี!I363"")"),0)</f>
        <v>0</v>
      </c>
      <c r="J468" s="198">
        <f ca="1">IFERROR(__xludf.DUMMYFUNCTION("IMPORTRANGE(""https://docs.google.com/spreadsheets/d/11923uPwbBZFjjGgGUA6NLw09EwE0CqkOc4q9oUmW1yo/edit?usp=sharing"",""อุทัยธานี!J363"")"),1860)</f>
        <v>1860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IFERROR(__xludf.DUMMYFUNCTION("IMPORTRANGE(""https://docs.google.com/spreadsheets/d/11923uPwbBZFjjGgGUA6NLw09EwE0CqkOc4q9oUmW1yo/edit?usp=sharing"",""อุทัยธานี!I364"")"),0)</f>
        <v>0</v>
      </c>
      <c r="J469" s="198">
        <f ca="1">IFERROR(__xludf.DUMMYFUNCTION("IMPORTRANGE(""https://docs.google.com/spreadsheets/d/11923uPwbBZFjjGgGUA6NLw09EwE0CqkOc4q9oUmW1yo/edit?usp=sharing"",""อุทัยธานี!J364"")"),4505)</f>
        <v>4505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IFERROR(__xludf.DUMMYFUNCTION("IMPORTRANGE(""https://docs.google.com/spreadsheets/d/11923uPwbBZFjjGgGUA6NLw09EwE0CqkOc4q9oUmW1yo/edit?usp=sharing"",""อุทัยธานี!I365"")"),0)</f>
        <v>0</v>
      </c>
      <c r="J470" s="198">
        <f ca="1">IFERROR(__xludf.DUMMYFUNCTION("IMPORTRANGE(""https://docs.google.com/spreadsheets/d/11923uPwbBZFjjGgGUA6NLw09EwE0CqkOc4q9oUmW1yo/edit?usp=sharing"",""อุทัยธานี!J365"")"),283)</f>
        <v>283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IFERROR(__xludf.DUMMYFUNCTION("IMPORTRANGE(""https://docs.google.com/spreadsheets/d/11923uPwbBZFjjGgGUA6NLw09EwE0CqkOc4q9oUmW1yo/edit?usp=sharing"",""อุทัยธานี!I366"")"),0)</f>
        <v>0</v>
      </c>
      <c r="J471" s="198">
        <f ca="1">IFERROR(__xludf.DUMMYFUNCTION("IMPORTRANGE(""https://docs.google.com/spreadsheets/d/11923uPwbBZFjjGgGUA6NLw09EwE0CqkOc4q9oUmW1yo/edit?usp=sharing"",""อุทัยธานี!J366"")"),913)</f>
        <v>913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IFERROR(__xludf.DUMMYFUNCTION("IMPORTRANGE(""https://docs.google.com/spreadsheets/d/11923uPwbBZFjjGgGUA6NLw09EwE0CqkOc4q9oUmW1yo/edit?usp=sharing"",""อุทัยธานี!I367"")"),0)</f>
        <v>0</v>
      </c>
      <c r="J472" s="198">
        <f ca="1">IFERROR(__xludf.DUMMYFUNCTION("IMPORTRANGE(""https://docs.google.com/spreadsheets/d/11923uPwbBZFjjGgGUA6NLw09EwE0CqkOc4q9oUmW1yo/edit?usp=sharing"",""อุทัยธานี!J367"")"),109)</f>
        <v>109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IFERROR(__xludf.DUMMYFUNCTION("IMPORTRANGE(""https://docs.google.com/spreadsheets/d/11923uPwbBZFjjGgGUA6NLw09EwE0CqkOc4q9oUmW1yo/edit?usp=sharing"",""อุทัยธานี!I368"")"),24457)</f>
        <v>24457</v>
      </c>
      <c r="J473" s="428">
        <f ca="1">IFERROR(__xludf.DUMMYFUNCTION("IMPORTRANGE(""https://docs.google.com/spreadsheets/d/11923uPwbBZFjjGgGUA6NLw09EwE0CqkOc4q9oUmW1yo/edit?usp=sharing"",""อุทัยธานี!J368"")"),0)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IFERROR(__xludf.DUMMYFUNCTION("IMPORTRANGE(""https://docs.google.com/spreadsheets/d/11923uPwbBZFjjGgGUA6NLw09EwE0CqkOc4q9oUmW1yo/edit?usp=sharing"",""อุทัยธานี!I369"")"),2670)</f>
        <v>2670</v>
      </c>
      <c r="J474" s="428">
        <f ca="1">IFERROR(__xludf.DUMMYFUNCTION("IMPORTRANGE(""https://docs.google.com/spreadsheets/d/11923uPwbBZFjjGgGUA6NLw09EwE0CqkOc4q9oUmW1yo/edit?usp=sharing"",""อุทัยธานี!J369"")"),0)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IFERROR(__xludf.DUMMYFUNCTION("IMPORTRANGE(""https://docs.google.com/spreadsheets/d/11923uPwbBZFjjGgGUA6NLw09EwE0CqkOc4q9oUmW1yo/edit?usp=sharing"",""อุทัยธานี!I370"")"),0)</f>
        <v>0</v>
      </c>
      <c r="J475" s="198">
        <f ca="1">IFERROR(__xludf.DUMMYFUNCTION("IMPORTRANGE(""https://docs.google.com/spreadsheets/d/11923uPwbBZFjjGgGUA6NLw09EwE0CqkOc4q9oUmW1yo/edit?usp=sharing"",""อุทัยธานี!J370"")"),0)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IFERROR(__xludf.DUMMYFUNCTION("IMPORTRANGE(""https://docs.google.com/spreadsheets/d/11923uPwbBZFjjGgGUA6NLw09EwE0CqkOc4q9oUmW1yo/edit?usp=sharing"",""อุทัยธานี!I371"")"),0)</f>
        <v>0</v>
      </c>
      <c r="J476" s="198">
        <f ca="1">IFERROR(__xludf.DUMMYFUNCTION("IMPORTRANGE(""https://docs.google.com/spreadsheets/d/11923uPwbBZFjjGgGUA6NLw09EwE0CqkOc4q9oUmW1yo/edit?usp=sharing"",""อุทัยธานี!J371"")"),0)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IFERROR(__xludf.DUMMYFUNCTION("IMPORTRANGE(""https://docs.google.com/spreadsheets/d/11923uPwbBZFjjGgGUA6NLw09EwE0CqkOc4q9oUmW1yo/edit?usp=sharing"",""อุทัยธานี!I372"")"),0)</f>
        <v>0</v>
      </c>
      <c r="J477" s="198">
        <f ca="1">IFERROR(__xludf.DUMMYFUNCTION("IMPORTRANGE(""https://docs.google.com/spreadsheets/d/11923uPwbBZFjjGgGUA6NLw09EwE0CqkOc4q9oUmW1yo/edit?usp=sharing"",""อุทัยธานี!J372"")"),0)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IFERROR(__xludf.DUMMYFUNCTION("IMPORTRANGE(""https://docs.google.com/spreadsheets/d/11923uPwbBZFjjGgGUA6NLw09EwE0CqkOc4q9oUmW1yo/edit?usp=sharing"",""อุทัยธานี!I373"")"),0)</f>
        <v>0</v>
      </c>
      <c r="J478" s="198">
        <f ca="1">IFERROR(__xludf.DUMMYFUNCTION("IMPORTRANGE(""https://docs.google.com/spreadsheets/d/11923uPwbBZFjjGgGUA6NLw09EwE0CqkOc4q9oUmW1yo/edit?usp=sharing"",""อุทัยธานี!J373"")"),0)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IFERROR(__xludf.DUMMYFUNCTION("IMPORTRANGE(""https://docs.google.com/spreadsheets/d/11923uPwbBZFjjGgGUA6NLw09EwE0CqkOc4q9oUmW1yo/edit?usp=sharing"",""อุทัยธานี!I374"")"),0)</f>
        <v>0</v>
      </c>
      <c r="J479" s="198">
        <f ca="1">IFERROR(__xludf.DUMMYFUNCTION("IMPORTRANGE(""https://docs.google.com/spreadsheets/d/11923uPwbBZFjjGgGUA6NLw09EwE0CqkOc4q9oUmW1yo/edit?usp=sharing"",""อุทัยธานี!J374"")"),0)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IFERROR(__xludf.DUMMYFUNCTION("IMPORTRANGE(""https://docs.google.com/spreadsheets/d/11923uPwbBZFjjGgGUA6NLw09EwE0CqkOc4q9oUmW1yo/edit?usp=sharing"",""อุทัยธานี!I375"")"),0)</f>
        <v>0</v>
      </c>
      <c r="J480" s="198">
        <f ca="1">IFERROR(__xludf.DUMMYFUNCTION("IMPORTRANGE(""https://docs.google.com/spreadsheets/d/11923uPwbBZFjjGgGUA6NLw09EwE0CqkOc4q9oUmW1yo/edit?usp=sharing"",""อุทัยธานี!J375"")"),0)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IFERROR(__xludf.DUMMYFUNCTION("IMPORTRANGE(""https://docs.google.com/spreadsheets/d/11923uPwbBZFjjGgGUA6NLw09EwE0CqkOc4q9oUmW1yo/edit?usp=sharing"",""อุทัยธานี!I376"")"),24457)</f>
        <v>24457</v>
      </c>
      <c r="J481" s="428">
        <f ca="1">IFERROR(__xludf.DUMMYFUNCTION("IMPORTRANGE(""https://docs.google.com/spreadsheets/d/11923uPwbBZFjjGgGUA6NLw09EwE0CqkOc4q9oUmW1yo/edit?usp=sharing"",""อุทัยธานี!J376"")"),0)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IFERROR(__xludf.DUMMYFUNCTION("IMPORTRANGE(""https://docs.google.com/spreadsheets/d/11923uPwbBZFjjGgGUA6NLw09EwE0CqkOc4q9oUmW1yo/edit?usp=sharing"",""อุทัยธานี!I377"")"),2670)</f>
        <v>2670</v>
      </c>
      <c r="J482" s="428">
        <f ca="1">IFERROR(__xludf.DUMMYFUNCTION("IMPORTRANGE(""https://docs.google.com/spreadsheets/d/11923uPwbBZFjjGgGUA6NLw09EwE0CqkOc4q9oUmW1yo/edit?usp=sharing"",""อุทัยธานี!J377"")"),0)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IFERROR(__xludf.DUMMYFUNCTION("IMPORTRANGE(""https://docs.google.com/spreadsheets/d/11923uPwbBZFjjGgGUA6NLw09EwE0CqkOc4q9oUmW1yo/edit?usp=sharing"",""อุทัยธานี!I378"")"),0)</f>
        <v>0</v>
      </c>
      <c r="J483" s="198">
        <f ca="1">IFERROR(__xludf.DUMMYFUNCTION("IMPORTRANGE(""https://docs.google.com/spreadsheets/d/11923uPwbBZFjjGgGUA6NLw09EwE0CqkOc4q9oUmW1yo/edit?usp=sharing"",""อุทัยธานี!J378"")"),0)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IFERROR(__xludf.DUMMYFUNCTION("IMPORTRANGE(""https://docs.google.com/spreadsheets/d/11923uPwbBZFjjGgGUA6NLw09EwE0CqkOc4q9oUmW1yo/edit?usp=sharing"",""อุทัยธานี!I379"")"),0)</f>
        <v>0</v>
      </c>
      <c r="J484" s="198">
        <f ca="1">IFERROR(__xludf.DUMMYFUNCTION("IMPORTRANGE(""https://docs.google.com/spreadsheets/d/11923uPwbBZFjjGgGUA6NLw09EwE0CqkOc4q9oUmW1yo/edit?usp=sharing"",""อุทัยธานี!J379"")"),0)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IFERROR(__xludf.DUMMYFUNCTION("IMPORTRANGE(""https://docs.google.com/spreadsheets/d/11923uPwbBZFjjGgGUA6NLw09EwE0CqkOc4q9oUmW1yo/edit?usp=sharing"",""อุทัยธานี!I380"")"),0)</f>
        <v>0</v>
      </c>
      <c r="J485" s="198">
        <f ca="1">IFERROR(__xludf.DUMMYFUNCTION("IMPORTRANGE(""https://docs.google.com/spreadsheets/d/11923uPwbBZFjjGgGUA6NLw09EwE0CqkOc4q9oUmW1yo/edit?usp=sharing"",""อุทัยธานี!J380"")"),0)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IFERROR(__xludf.DUMMYFUNCTION("IMPORTRANGE(""https://docs.google.com/spreadsheets/d/11923uPwbBZFjjGgGUA6NLw09EwE0CqkOc4q9oUmW1yo/edit?usp=sharing"",""อุทัยธานี!I381"")"),0)</f>
        <v>0</v>
      </c>
      <c r="J486" s="198">
        <f ca="1">IFERROR(__xludf.DUMMYFUNCTION("IMPORTRANGE(""https://docs.google.com/spreadsheets/d/11923uPwbBZFjjGgGUA6NLw09EwE0CqkOc4q9oUmW1yo/edit?usp=sharing"",""อุทัยธานี!J381"")"),0)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IFERROR(__xludf.DUMMYFUNCTION("IMPORTRANGE(""https://docs.google.com/spreadsheets/d/11923uPwbBZFjjGgGUA6NLw09EwE0CqkOc4q9oUmW1yo/edit?usp=sharing"",""อุทัยธานี!I382"")"),0)</f>
        <v>0</v>
      </c>
      <c r="J487" s="428">
        <f ca="1">IFERROR(__xludf.DUMMYFUNCTION("IMPORTRANGE(""https://docs.google.com/spreadsheets/d/11923uPwbBZFjjGgGUA6NLw09EwE0CqkOc4q9oUmW1yo/edit?usp=sharing"",""อุทัยธานี!J382"")"),0)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IFERROR(__xludf.DUMMYFUNCTION("IMPORTRANGE(""https://docs.google.com/spreadsheets/d/11923uPwbBZFjjGgGUA6NLw09EwE0CqkOc4q9oUmW1yo/edit?usp=sharing"",""อุทัยธานี!I383"")"),0)</f>
        <v>0</v>
      </c>
      <c r="J488" s="428">
        <f ca="1">IFERROR(__xludf.DUMMYFUNCTION("IMPORTRANGE(""https://docs.google.com/spreadsheets/d/11923uPwbBZFjjGgGUA6NLw09EwE0CqkOc4q9oUmW1yo/edit?usp=sharing"",""อุทัยธานี!J383"")"),0)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IFERROR(__xludf.DUMMYFUNCTION("IMPORTRANGE(""https://docs.google.com/spreadsheets/d/11923uPwbBZFjjGgGUA6NLw09EwE0CqkOc4q9oUmW1yo/edit?usp=sharing"",""อุทัยธานี!I384"")"),0)</f>
        <v>0</v>
      </c>
      <c r="J489" s="198">
        <f ca="1">IFERROR(__xludf.DUMMYFUNCTION("IMPORTRANGE(""https://docs.google.com/spreadsheets/d/11923uPwbBZFjjGgGUA6NLw09EwE0CqkOc4q9oUmW1yo/edit?usp=sharing"",""อุทัยธานี!J384"")"),0)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IFERROR(__xludf.DUMMYFUNCTION("IMPORTRANGE(""https://docs.google.com/spreadsheets/d/11923uPwbBZFjjGgGUA6NLw09EwE0CqkOc4q9oUmW1yo/edit?usp=sharing"",""อุทัยธานี!I385"")"),0)</f>
        <v>0</v>
      </c>
      <c r="J490" s="198">
        <f ca="1">IFERROR(__xludf.DUMMYFUNCTION("IMPORTRANGE(""https://docs.google.com/spreadsheets/d/11923uPwbBZFjjGgGUA6NLw09EwE0CqkOc4q9oUmW1yo/edit?usp=sharing"",""อุทัยธานี!J385"")"),0)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IFERROR(__xludf.DUMMYFUNCTION("IMPORTRANGE(""https://docs.google.com/spreadsheets/d/11923uPwbBZFjjGgGUA6NLw09EwE0CqkOc4q9oUmW1yo/edit?usp=sharing"",""อุทัยธานี!I386"")"),0)</f>
        <v>0</v>
      </c>
      <c r="J491" s="198">
        <f ca="1">IFERROR(__xludf.DUMMYFUNCTION("IMPORTRANGE(""https://docs.google.com/spreadsheets/d/11923uPwbBZFjjGgGUA6NLw09EwE0CqkOc4q9oUmW1yo/edit?usp=sharing"",""อุทัยธานี!J386"")"),0)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IFERROR(__xludf.DUMMYFUNCTION("IMPORTRANGE(""https://docs.google.com/spreadsheets/d/11923uPwbBZFjjGgGUA6NLw09EwE0CqkOc4q9oUmW1yo/edit?usp=sharing"",""อุทัยธานี!I387"")"),0)</f>
        <v>0</v>
      </c>
      <c r="J492" s="198">
        <f ca="1">IFERROR(__xludf.DUMMYFUNCTION("IMPORTRANGE(""https://docs.google.com/spreadsheets/d/11923uPwbBZFjjGgGUA6NLw09EwE0CqkOc4q9oUmW1yo/edit?usp=sharing"",""อุทัยธานี!J387"")"),0)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IFERROR(__xludf.DUMMYFUNCTION("IMPORTRANGE(""https://docs.google.com/spreadsheets/d/11923uPwbBZFjjGgGUA6NLw09EwE0CqkOc4q9oUmW1yo/edit?usp=sharing"",""อุทัยธานี!I388"")"),0)</f>
        <v>0</v>
      </c>
      <c r="J493" s="198">
        <f ca="1">IFERROR(__xludf.DUMMYFUNCTION("IMPORTRANGE(""https://docs.google.com/spreadsheets/d/11923uPwbBZFjjGgGUA6NLw09EwE0CqkOc4q9oUmW1yo/edit?usp=sharing"",""อุทัยธานี!J388"")"),0)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IFERROR(__xludf.DUMMYFUNCTION("IMPORTRANGE(""https://docs.google.com/spreadsheets/d/11923uPwbBZFjjGgGUA6NLw09EwE0CqkOc4q9oUmW1yo/edit?usp=sharing"",""อุทัยธานี!I389"")"),0)</f>
        <v>0</v>
      </c>
      <c r="J494" s="444">
        <f ca="1">IFERROR(__xludf.DUMMYFUNCTION("IMPORTRANGE(""https://docs.google.com/spreadsheets/d/11923uPwbBZFjjGgGUA6NLw09EwE0CqkOc4q9oUmW1yo/edit?usp=sharing"",""อุทัยธานี!J389"")"),0)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IFERROR(__xludf.DUMMYFUNCTION("IMPORTRANGE(""https://docs.google.com/spreadsheets/d/11923uPwbBZFjjGgGUA6NLw09EwE0CqkOc4q9oUmW1yo/edit?usp=sharing"",""อุทัยธานี!I390"")"),0)</f>
        <v>0</v>
      </c>
      <c r="J495" s="444">
        <f ca="1">IFERROR(__xludf.DUMMYFUNCTION("IMPORTRANGE(""https://docs.google.com/spreadsheets/d/11923uPwbBZFjjGgGUA6NLw09EwE0CqkOc4q9oUmW1yo/edit?usp=sharing"",""อุทัยธานี!J390"")"),0)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IFERROR(__xludf.DUMMYFUNCTION("IMPORTRANGE(""https://docs.google.com/spreadsheets/d/11923uPwbBZFjjGgGUA6NLw09EwE0CqkOc4q9oUmW1yo/edit?usp=sharing"",""อุทัยธานี!I391"")"),0)</f>
        <v>0</v>
      </c>
      <c r="J496" s="444">
        <f ca="1">IFERROR(__xludf.DUMMYFUNCTION("IMPORTRANGE(""https://docs.google.com/spreadsheets/d/11923uPwbBZFjjGgGUA6NLw09EwE0CqkOc4q9oUmW1yo/edit?usp=sharing"",""อุทัยธานี!J391"")"),0)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IFERROR(__xludf.DUMMYFUNCTION("IMPORTRANGE(""https://docs.google.com/spreadsheets/d/11923uPwbBZFjjGgGUA6NLw09EwE0CqkOc4q9oUmW1yo/edit?usp=sharing"",""อุทัยธานี!I392"")"),7373)</f>
        <v>7373</v>
      </c>
      <c r="J497" s="451">
        <f ca="1">IFERROR(__xludf.DUMMYFUNCTION("IMPORTRANGE(""https://docs.google.com/spreadsheets/d/11923uPwbBZFjjGgGUA6NLw09EwE0CqkOc4q9oUmW1yo/edit?usp=sharing"",""อุทัยธานี!J392"")"),74)</f>
        <v>74</v>
      </c>
      <c r="K497" s="452">
        <f t="shared" ca="1" si="117"/>
        <v>1.00366201003662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IFERROR(__xludf.DUMMYFUNCTION("IMPORTRANGE(""https://docs.google.com/spreadsheets/d/11923uPwbBZFjjGgGUA6NLw09EwE0CqkOc4q9oUmW1yo/edit?usp=sharing"",""อุทัยธานี!I393"")"),7373)</f>
        <v>7373</v>
      </c>
      <c r="J498" s="428">
        <f ca="1">IFERROR(__xludf.DUMMYFUNCTION("IMPORTRANGE(""https://docs.google.com/spreadsheets/d/11923uPwbBZFjjGgGUA6NLw09EwE0CqkOc4q9oUmW1yo/edit?usp=sharing"",""อุทัยธานี!J393"")"),74)</f>
        <v>74</v>
      </c>
      <c r="K498" s="171">
        <f t="shared" ca="1" si="117"/>
        <v>1.00366201003662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IFERROR(__xludf.DUMMYFUNCTION("IMPORTRANGE(""https://docs.google.com/spreadsheets/d/11923uPwbBZFjjGgGUA6NLw09EwE0CqkOc4q9oUmW1yo/edit?usp=sharing"",""อุทัยธานี!I394"")"),412)</f>
        <v>412</v>
      </c>
      <c r="J499" s="428">
        <f ca="1">IFERROR(__xludf.DUMMYFUNCTION("IMPORTRANGE(""https://docs.google.com/spreadsheets/d/11923uPwbBZFjjGgGUA6NLw09EwE0CqkOc4q9oUmW1yo/edit?usp=sharing"",""อุทัยธานี!J394"")"),6)</f>
        <v>6</v>
      </c>
      <c r="K499" s="211">
        <f t="shared" ca="1" si="117"/>
        <v>1.4563106796116505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IFERROR(__xludf.DUMMYFUNCTION("IMPORTRANGE(""https://docs.google.com/spreadsheets/d/11923uPwbBZFjjGgGUA6NLw09EwE0CqkOc4q9oUmW1yo/edit?usp=sharing"",""อุทัยธานี!I395"")"),0)</f>
        <v>0</v>
      </c>
      <c r="J500" s="170">
        <f ca="1">IFERROR(__xludf.DUMMYFUNCTION("IMPORTRANGE(""https://docs.google.com/spreadsheets/d/11923uPwbBZFjjGgGUA6NLw09EwE0CqkOc4q9oUmW1yo/edit?usp=sharing"",""อุทัยธานี!J395"")"),74)</f>
        <v>74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IFERROR(__xludf.DUMMYFUNCTION("IMPORTRANGE(""https://docs.google.com/spreadsheets/d/11923uPwbBZFjjGgGUA6NLw09EwE0CqkOc4q9oUmW1yo/edit?usp=sharing"",""อุทัยธานี!I396"")"),0)</f>
        <v>0</v>
      </c>
      <c r="J501" s="170">
        <f ca="1">IFERROR(__xludf.DUMMYFUNCTION("IMPORTRANGE(""https://docs.google.com/spreadsheets/d/11923uPwbBZFjjGgGUA6NLw09EwE0CqkOc4q9oUmW1yo/edit?usp=sharing"",""อุทัยธานี!J396"")"),6)</f>
        <v>6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IFERROR(__xludf.DUMMYFUNCTION("IMPORTRANGE(""https://docs.google.com/spreadsheets/d/11923uPwbBZFjjGgGUA6NLw09EwE0CqkOc4q9oUmW1yo/edit?usp=sharing"",""อุทัยธานี!I397"")"),0)</f>
        <v>0</v>
      </c>
      <c r="J502" s="198">
        <f ca="1">IFERROR(__xludf.DUMMYFUNCTION("IMPORTRANGE(""https://docs.google.com/spreadsheets/d/11923uPwbBZFjjGgGUA6NLw09EwE0CqkOc4q9oUmW1yo/edit?usp=sharing"",""อุทัยธานี!J397"")"),74)</f>
        <v>74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IFERROR(__xludf.DUMMYFUNCTION("IMPORTRANGE(""https://docs.google.com/spreadsheets/d/11923uPwbBZFjjGgGUA6NLw09EwE0CqkOc4q9oUmW1yo/edit?usp=sharing"",""อุทัยธานี!I398"")"),0)</f>
        <v>0</v>
      </c>
      <c r="J503" s="207">
        <f ca="1">IFERROR(__xludf.DUMMYFUNCTION("IMPORTRANGE(""https://docs.google.com/spreadsheets/d/11923uPwbBZFjjGgGUA6NLw09EwE0CqkOc4q9oUmW1yo/edit?usp=sharing"",""อุทัยธานี!J398"")"),6)</f>
        <v>6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IFERROR(__xludf.DUMMYFUNCTION("IMPORTRANGE(""https://docs.google.com/spreadsheets/d/11923uPwbBZFjjGgGUA6NLw09EwE0CqkOc4q9oUmW1yo/edit?usp=sharing"",""อุทัยธานี!I399"")"),0)</f>
        <v>0</v>
      </c>
      <c r="J504" s="198">
        <f ca="1">IFERROR(__xludf.DUMMYFUNCTION("IMPORTRANGE(""https://docs.google.com/spreadsheets/d/11923uPwbBZFjjGgGUA6NLw09EwE0CqkOc4q9oUmW1yo/edit?usp=sharing"",""อุทัยธานี!J399"")"),0)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IFERROR(__xludf.DUMMYFUNCTION("IMPORTRANGE(""https://docs.google.com/spreadsheets/d/11923uPwbBZFjjGgGUA6NLw09EwE0CqkOc4q9oUmW1yo/edit?usp=sharing"",""อุทัยธานี!I400"")"),0)</f>
        <v>0</v>
      </c>
      <c r="J505" s="207">
        <f ca="1">IFERROR(__xludf.DUMMYFUNCTION("IMPORTRANGE(""https://docs.google.com/spreadsheets/d/11923uPwbBZFjjGgGUA6NLw09EwE0CqkOc4q9oUmW1yo/edit?usp=sharing"",""อุทัยธานี!J400"")"),0)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IFERROR(__xludf.DUMMYFUNCTION("IMPORTRANGE(""https://docs.google.com/spreadsheets/d/11923uPwbBZFjjGgGUA6NLw09EwE0CqkOc4q9oUmW1yo/edit?usp=sharing"",""อุทัยธานี!I401"")"),0)</f>
        <v>0</v>
      </c>
      <c r="J506" s="198">
        <f ca="1">IFERROR(__xludf.DUMMYFUNCTION("IMPORTRANGE(""https://docs.google.com/spreadsheets/d/11923uPwbBZFjjGgGUA6NLw09EwE0CqkOc4q9oUmW1yo/edit?usp=sharing"",""อุทัยธานี!J401"")"),0)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IFERROR(__xludf.DUMMYFUNCTION("IMPORTRANGE(""https://docs.google.com/spreadsheets/d/11923uPwbBZFjjGgGUA6NLw09EwE0CqkOc4q9oUmW1yo/edit?usp=sharing"",""อุทัยธานี!I402"")"),0)</f>
        <v>0</v>
      </c>
      <c r="J507" s="207">
        <f ca="1">IFERROR(__xludf.DUMMYFUNCTION("IMPORTRANGE(""https://docs.google.com/spreadsheets/d/11923uPwbBZFjjGgGUA6NLw09EwE0CqkOc4q9oUmW1yo/edit?usp=sharing"",""อุทัยธานี!J402"")"),0)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IFERROR(__xludf.DUMMYFUNCTION("IMPORTRANGE(""https://docs.google.com/spreadsheets/d/11923uPwbBZFjjGgGUA6NLw09EwE0CqkOc4q9oUmW1yo/edit?usp=sharing"",""อุทัยธานี!I403"")"),0)</f>
        <v>0</v>
      </c>
      <c r="J508" s="170">
        <f ca="1">IFERROR(__xludf.DUMMYFUNCTION("IMPORTRANGE(""https://docs.google.com/spreadsheets/d/11923uPwbBZFjjGgGUA6NLw09EwE0CqkOc4q9oUmW1yo/edit?usp=sharing"",""อุทัยธานี!J403"")"),0)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IFERROR(__xludf.DUMMYFUNCTION("IMPORTRANGE(""https://docs.google.com/spreadsheets/d/11923uPwbBZFjjGgGUA6NLw09EwE0CqkOc4q9oUmW1yo/edit?usp=sharing"",""อุทัยธานี!I404"")"),0)</f>
        <v>0</v>
      </c>
      <c r="J509" s="170">
        <f ca="1">IFERROR(__xludf.DUMMYFUNCTION("IMPORTRANGE(""https://docs.google.com/spreadsheets/d/11923uPwbBZFjjGgGUA6NLw09EwE0CqkOc4q9oUmW1yo/edit?usp=sharing"",""อุทัยธานี!J404"")"),0)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IFERROR(__xludf.DUMMYFUNCTION("IMPORTRANGE(""https://docs.google.com/spreadsheets/d/11923uPwbBZFjjGgGUA6NLw09EwE0CqkOc4q9oUmW1yo/edit?usp=sharing"",""อุทัยธานี!I405"")"),0)</f>
        <v>0</v>
      </c>
      <c r="J510" s="207">
        <f ca="1">IFERROR(__xludf.DUMMYFUNCTION("IMPORTRANGE(""https://docs.google.com/spreadsheets/d/11923uPwbBZFjjGgGUA6NLw09EwE0CqkOc4q9oUmW1yo/edit?usp=sharing"",""อุทัยธานี!J405"")"),0)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IFERROR(__xludf.DUMMYFUNCTION("IMPORTRANGE(""https://docs.google.com/spreadsheets/d/11923uPwbBZFjjGgGUA6NLw09EwE0CqkOc4q9oUmW1yo/edit?usp=sharing"",""อุทัยธานี!I406"")"),0)</f>
        <v>0</v>
      </c>
      <c r="J511" s="207">
        <f ca="1">IFERROR(__xludf.DUMMYFUNCTION("IMPORTRANGE(""https://docs.google.com/spreadsheets/d/11923uPwbBZFjjGgGUA6NLw09EwE0CqkOc4q9oUmW1yo/edit?usp=sharing"",""อุทัยธานี!J406"")"),0)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IFERROR(__xludf.DUMMYFUNCTION("IMPORTRANGE(""https://docs.google.com/spreadsheets/d/11923uPwbBZFjjGgGUA6NLw09EwE0CqkOc4q9oUmW1yo/edit?usp=sharing"",""อุทัยธานี!I407"")"),0)</f>
        <v>0</v>
      </c>
      <c r="J512" s="207">
        <f ca="1">IFERROR(__xludf.DUMMYFUNCTION("IMPORTRANGE(""https://docs.google.com/spreadsheets/d/11923uPwbBZFjjGgGUA6NLw09EwE0CqkOc4q9oUmW1yo/edit?usp=sharing"",""อุทัยธานี!J407"")"),0)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IFERROR(__xludf.DUMMYFUNCTION("IMPORTRANGE(""https://docs.google.com/spreadsheets/d/11923uPwbBZFjjGgGUA6NLw09EwE0CqkOc4q9oUmW1yo/edit?usp=sharing"",""อุทัยธานี!I408"")"),0)</f>
        <v>0</v>
      </c>
      <c r="J513" s="207">
        <f ca="1">IFERROR(__xludf.DUMMYFUNCTION("IMPORTRANGE(""https://docs.google.com/spreadsheets/d/11923uPwbBZFjjGgGUA6NLw09EwE0CqkOc4q9oUmW1yo/edit?usp=sharing"",""อุทัยธานี!J408"")"),0)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IFERROR(__xludf.DUMMYFUNCTION("IMPORTRANGE(""https://docs.google.com/spreadsheets/d/11923uPwbBZFjjGgGUA6NLw09EwE0CqkOc4q9oUmW1yo/edit?usp=sharing"",""อุทัยธานี!I409"")"),0)</f>
        <v>0</v>
      </c>
      <c r="J514" s="207">
        <f ca="1">IFERROR(__xludf.DUMMYFUNCTION("IMPORTRANGE(""https://docs.google.com/spreadsheets/d/11923uPwbBZFjjGgGUA6NLw09EwE0CqkOc4q9oUmW1yo/edit?usp=sharing"",""อุทัยธานี!J409"")"),0)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IFERROR(__xludf.DUMMYFUNCTION("IMPORTRANGE(""https://docs.google.com/spreadsheets/d/11923uPwbBZFjjGgGUA6NLw09EwE0CqkOc4q9oUmW1yo/edit?usp=sharing"",""อุทัยธานี!I410"")"),0)</f>
        <v>0</v>
      </c>
      <c r="J515" s="207">
        <f ca="1">IFERROR(__xludf.DUMMYFUNCTION("IMPORTRANGE(""https://docs.google.com/spreadsheets/d/11923uPwbBZFjjGgGUA6NLw09EwE0CqkOc4q9oUmW1yo/edit?usp=sharing"",""อุทัยธานี!J410"")"),0)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IFERROR(__xludf.DUMMYFUNCTION("IMPORTRANGE(""https://docs.google.com/spreadsheets/d/11923uPwbBZFjjGgGUA6NLw09EwE0CqkOc4q9oUmW1yo/edit?usp=sharing"",""อุทัยธานี!I411"")"),0)</f>
        <v>0</v>
      </c>
      <c r="J516" s="276">
        <f ca="1">IFERROR(__xludf.DUMMYFUNCTION("IMPORTRANGE(""https://docs.google.com/spreadsheets/d/11923uPwbBZFjjGgGUA6NLw09EwE0CqkOc4q9oUmW1yo/edit?usp=sharing"",""อุทัยธานี!J411"")"),0)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IFERROR(__xludf.DUMMYFUNCTION("IMPORTRANGE(""https://docs.google.com/spreadsheets/d/11923uPwbBZFjjGgGUA6NLw09EwE0CqkOc4q9oUmW1yo/edit?usp=sharing"",""อุทัยธานี!I412"")"),0)</f>
        <v>0</v>
      </c>
      <c r="J517" s="292">
        <f ca="1">IFERROR(__xludf.DUMMYFUNCTION("IMPORTRANGE(""https://docs.google.com/spreadsheets/d/11923uPwbBZFjjGgGUA6NLw09EwE0CqkOc4q9oUmW1yo/edit?usp=sharing"",""อุทัยธานี!J412"")"),0)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IFERROR(__xludf.DUMMYFUNCTION("IMPORTRANGE(""https://docs.google.com/spreadsheets/d/11923uPwbBZFjjGgGUA6NLw09EwE0CqkOc4q9oUmW1yo/edit?usp=sharing"",""อุทัยธานี!I413"")"),0)</f>
        <v>0</v>
      </c>
      <c r="J518" s="292">
        <f ca="1">IFERROR(__xludf.DUMMYFUNCTION("IMPORTRANGE(""https://docs.google.com/spreadsheets/d/11923uPwbBZFjjGgGUA6NLw09EwE0CqkOc4q9oUmW1yo/edit?usp=sharing"",""อุทัยธานี!J413"")"),0)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IFERROR(__xludf.DUMMYFUNCTION("IMPORTRANGE(""https://docs.google.com/spreadsheets/d/11923uPwbBZFjjGgGUA6NLw09EwE0CqkOc4q9oUmW1yo/edit?usp=sharing"",""อุทัยธานี!I414"")"),0)</f>
        <v>0</v>
      </c>
      <c r="J519" s="197">
        <f ca="1">IFERROR(__xludf.DUMMYFUNCTION("IMPORTRANGE(""https://docs.google.com/spreadsheets/d/11923uPwbBZFjjGgGUA6NLw09EwE0CqkOc4q9oUmW1yo/edit?usp=sharing"",""อุทัยธานี!J414"")"),0)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IFERROR(__xludf.DUMMYFUNCTION("IMPORTRANGE(""https://docs.google.com/spreadsheets/d/11923uPwbBZFjjGgGUA6NLw09EwE0CqkOc4q9oUmW1yo/edit?usp=sharing"",""อุทัยธานี!I415"")"),0)</f>
        <v>0</v>
      </c>
      <c r="J520" s="197">
        <f ca="1">IFERROR(__xludf.DUMMYFUNCTION("IMPORTRANGE(""https://docs.google.com/spreadsheets/d/11923uPwbBZFjjGgGUA6NLw09EwE0CqkOc4q9oUmW1yo/edit?usp=sharing"",""อุทัยธานี!J415"")"),0)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IFERROR(__xludf.DUMMYFUNCTION("IMPORTRANGE(""https://docs.google.com/spreadsheets/d/11923uPwbBZFjjGgGUA6NLw09EwE0CqkOc4q9oUmW1yo/edit?usp=sharing"",""อุทัยธานี!I416"")"),0)</f>
        <v>0</v>
      </c>
      <c r="J521" s="197">
        <f ca="1">IFERROR(__xludf.DUMMYFUNCTION("IMPORTRANGE(""https://docs.google.com/spreadsheets/d/11923uPwbBZFjjGgGUA6NLw09EwE0CqkOc4q9oUmW1yo/edit?usp=sharing"",""อุทัยธานี!J416"")"),0)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IFERROR(__xludf.DUMMYFUNCTION("IMPORTRANGE(""https://docs.google.com/spreadsheets/d/11923uPwbBZFjjGgGUA6NLw09EwE0CqkOc4q9oUmW1yo/edit?usp=sharing"",""อุทัยธานี!I417"")"),0)</f>
        <v>0</v>
      </c>
      <c r="J522" s="197">
        <f ca="1">IFERROR(__xludf.DUMMYFUNCTION("IMPORTRANGE(""https://docs.google.com/spreadsheets/d/11923uPwbBZFjjGgGUA6NLw09EwE0CqkOc4q9oUmW1yo/edit?usp=sharing"",""อุทัยธานี!J417"")"),0)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IFERROR(__xludf.DUMMYFUNCTION("IMPORTRANGE(""https://docs.google.com/spreadsheets/d/11923uPwbBZFjjGgGUA6NLw09EwE0CqkOc4q9oUmW1yo/edit?usp=sharing"",""อุทัยธานี!I418"")"),0)</f>
        <v>0</v>
      </c>
      <c r="J523" s="197">
        <f ca="1">IFERROR(__xludf.DUMMYFUNCTION("IMPORTRANGE(""https://docs.google.com/spreadsheets/d/11923uPwbBZFjjGgGUA6NLw09EwE0CqkOc4q9oUmW1yo/edit?usp=sharing"",""อุทัยธานี!J418"")"),0)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IFERROR(__xludf.DUMMYFUNCTION("IMPORTRANGE(""https://docs.google.com/spreadsheets/d/11923uPwbBZFjjGgGUA6NLw09EwE0CqkOc4q9oUmW1yo/edit?usp=sharing"",""อุทัยธานี!I419"")"),0)</f>
        <v>0</v>
      </c>
      <c r="J524" s="197">
        <f ca="1">IFERROR(__xludf.DUMMYFUNCTION("IMPORTRANGE(""https://docs.google.com/spreadsheets/d/11923uPwbBZFjjGgGUA6NLw09EwE0CqkOc4q9oUmW1yo/edit?usp=sharing"",""อุทัยธานี!J419"")"),0)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IFERROR(__xludf.DUMMYFUNCTION("IMPORTRANGE(""https://docs.google.com/spreadsheets/d/11923uPwbBZFjjGgGUA6NLw09EwE0CqkOc4q9oUmW1yo/edit?usp=sharing"",""อุทัยธานี!I420"")"),0)</f>
        <v>0</v>
      </c>
      <c r="J525" s="292">
        <f ca="1">IFERROR(__xludf.DUMMYFUNCTION("IMPORTRANGE(""https://docs.google.com/spreadsheets/d/11923uPwbBZFjjGgGUA6NLw09EwE0CqkOc4q9oUmW1yo/edit?usp=sharing"",""อุทัยธานี!J420"")"),0)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IFERROR(__xludf.DUMMYFUNCTION("IMPORTRANGE(""https://docs.google.com/spreadsheets/d/11923uPwbBZFjjGgGUA6NLw09EwE0CqkOc4q9oUmW1yo/edit?usp=sharing"",""อุทัยธานี!I421"")"),0)</f>
        <v>0</v>
      </c>
      <c r="J526" s="292">
        <f ca="1">IFERROR(__xludf.DUMMYFUNCTION("IMPORTRANGE(""https://docs.google.com/spreadsheets/d/11923uPwbBZFjjGgGUA6NLw09EwE0CqkOc4q9oUmW1yo/edit?usp=sharing"",""อุทัยธานี!J421"")"),0)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IFERROR(__xludf.DUMMYFUNCTION("IMPORTRANGE(""https://docs.google.com/spreadsheets/d/11923uPwbBZFjjGgGUA6NLw09EwE0CqkOc4q9oUmW1yo/edit?usp=sharing"",""อุทัยธานี!I422"")"),0)</f>
        <v>0</v>
      </c>
      <c r="J527" s="207">
        <f ca="1">IFERROR(__xludf.DUMMYFUNCTION("IMPORTRANGE(""https://docs.google.com/spreadsheets/d/11923uPwbBZFjjGgGUA6NLw09EwE0CqkOc4q9oUmW1yo/edit?usp=sharing"",""อุทัยธานี!J422"")"),0)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IFERROR(__xludf.DUMMYFUNCTION("IMPORTRANGE(""https://docs.google.com/spreadsheets/d/11923uPwbBZFjjGgGUA6NLw09EwE0CqkOc4q9oUmW1yo/edit?usp=sharing"",""อุทัยธานี!I423"")"),0)</f>
        <v>0</v>
      </c>
      <c r="J528" s="207">
        <f ca="1">IFERROR(__xludf.DUMMYFUNCTION("IMPORTRANGE(""https://docs.google.com/spreadsheets/d/11923uPwbBZFjjGgGUA6NLw09EwE0CqkOc4q9oUmW1yo/edit?usp=sharing"",""อุทัยธานี!J423"")"),0)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IFERROR(__xludf.DUMMYFUNCTION("IMPORTRANGE(""https://docs.google.com/spreadsheets/d/11923uPwbBZFjjGgGUA6NLw09EwE0CqkOc4q9oUmW1yo/edit?usp=sharing"",""อุทัยธานี!I424"")"),0)</f>
        <v>0</v>
      </c>
      <c r="J529" s="207">
        <f ca="1">IFERROR(__xludf.DUMMYFUNCTION("IMPORTRANGE(""https://docs.google.com/spreadsheets/d/11923uPwbBZFjjGgGUA6NLw09EwE0CqkOc4q9oUmW1yo/edit?usp=sharing"",""อุทัยธานี!J424"")"),0)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IFERROR(__xludf.DUMMYFUNCTION("IMPORTRANGE(""https://docs.google.com/spreadsheets/d/11923uPwbBZFjjGgGUA6NLw09EwE0CqkOc4q9oUmW1yo/edit?usp=sharing"",""อุทัยธานี!I425"")"),0)</f>
        <v>0</v>
      </c>
      <c r="J530" s="207">
        <f ca="1">IFERROR(__xludf.DUMMYFUNCTION("IMPORTRANGE(""https://docs.google.com/spreadsheets/d/11923uPwbBZFjjGgGUA6NLw09EwE0CqkOc4q9oUmW1yo/edit?usp=sharing"",""อุทัยธานี!J425"")"),0)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IFERROR(__xludf.DUMMYFUNCTION("IMPORTRANGE(""https://docs.google.com/spreadsheets/d/11923uPwbBZFjjGgGUA6NLw09EwE0CqkOc4q9oUmW1yo/edit?usp=sharing"",""อุทัยธานี!I426"")"),0)</f>
        <v>0</v>
      </c>
      <c r="J531" s="207">
        <f ca="1">IFERROR(__xludf.DUMMYFUNCTION("IMPORTRANGE(""https://docs.google.com/spreadsheets/d/11923uPwbBZFjjGgGUA6NLw09EwE0CqkOc4q9oUmW1yo/edit?usp=sharing"",""อุทัยธานี!J426"")"),0)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IFERROR(__xludf.DUMMYFUNCTION("IMPORTRANGE(""https://docs.google.com/spreadsheets/d/11923uPwbBZFjjGgGUA6NLw09EwE0CqkOc4q9oUmW1yo/edit?usp=sharing"",""อุทัยธานี!I427"")"),0)</f>
        <v>0</v>
      </c>
      <c r="J532" s="474">
        <f ca="1">IFERROR(__xludf.DUMMYFUNCTION("IMPORTRANGE(""https://docs.google.com/spreadsheets/d/11923uPwbBZFjjGgGUA6NLw09EwE0CqkOc4q9oUmW1yo/edit?usp=sharing"",""อุทัยธานี!J427"")"),0)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IFERROR(__xludf.DUMMYFUNCTION("IMPORTRANGE(""https://docs.google.com/spreadsheets/d/11923uPwbBZFjjGgGUA6NLw09EwE0CqkOc4q9oUmW1yo/edit?usp=sharing"",""อุทัยธานี!I428"")"),24)</f>
        <v>24</v>
      </c>
      <c r="J533" s="418">
        <f ca="1">IFERROR(__xludf.DUMMYFUNCTION("IMPORTRANGE(""https://docs.google.com/spreadsheets/d/11923uPwbBZFjjGgGUA6NLw09EwE0CqkOc4q9oUmW1yo/edit?usp=sharing"",""อุทัยธานี!J428"")"),24)</f>
        <v>24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IFERROR(__xludf.DUMMYFUNCTION("IMPORTRANGE(""https://docs.google.com/spreadsheets/d/11923uPwbBZFjjGgGUA6NLw09EwE0CqkOc4q9oUmW1yo/edit?usp=sharing"",""อุทัยธานี!L428"")"),36040)</f>
        <v>36040</v>
      </c>
      <c r="M533" s="420"/>
      <c r="N533" s="420">
        <f ca="1">IFERROR(__xludf.DUMMYFUNCTION("IMPORTRANGE(""https://docs.google.com/spreadsheets/d/11923uPwbBZFjjGgGUA6NLw09EwE0CqkOc4q9oUmW1yo/edit?usp=sharing"",""อุทัยธานี!M428"")"),30290)</f>
        <v>30290</v>
      </c>
      <c r="O533" s="420">
        <f t="shared" ref="O533:O537" ca="1" si="118">+IF(L533&gt;0,N533*100/L533,0)</f>
        <v>84.04550499445061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IFERROR(__xludf.DUMMYFUNCTION("IMPORTRANGE(""https://docs.google.com/spreadsheets/d/11923uPwbBZFjjGgGUA6NLw09EwE0CqkOc4q9oUmW1yo/edit?usp=sharing"",""อุทัยธานี!L429"")"),0)</f>
        <v>0</v>
      </c>
      <c r="M534" s="172"/>
      <c r="N534" s="178">
        <f ca="1">IFERROR(__xludf.DUMMYFUNCTION("IMPORTRANGE(""https://docs.google.com/spreadsheets/d/11923uPwbBZFjjGgGUA6NLw09EwE0CqkOc4q9oUmW1yo/edit?usp=sharing"",""อุทัยธานี!M429"")"),0)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IFERROR(__xludf.DUMMYFUNCTION("IMPORTRANGE(""https://docs.google.com/spreadsheets/d/11923uPwbBZFjjGgGUA6NLw09EwE0CqkOc4q9oUmW1yo/edit?usp=sharing"",""อุทัยธานี!L430"")"),36040)</f>
        <v>36040</v>
      </c>
      <c r="M535" s="173"/>
      <c r="N535" s="178">
        <f ca="1">IFERROR(__xludf.DUMMYFUNCTION("IMPORTRANGE(""https://docs.google.com/spreadsheets/d/11923uPwbBZFjjGgGUA6NLw09EwE0CqkOc4q9oUmW1yo/edit?usp=sharing"",""อุทัยธานี!M430"")"),30290)</f>
        <v>30290</v>
      </c>
      <c r="O535" s="178">
        <f t="shared" ca="1" si="118"/>
        <v>84.04550499445061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IFERROR(__xludf.DUMMYFUNCTION("IMPORTRANGE(""https://docs.google.com/spreadsheets/d/11923uPwbBZFjjGgGUA6NLw09EwE0CqkOc4q9oUmW1yo/edit?usp=sharing"",""อุทัยธานี!L431"")"),0)</f>
        <v>0</v>
      </c>
      <c r="M536" s="178"/>
      <c r="N536" s="178">
        <f ca="1">IFERROR(__xludf.DUMMYFUNCTION("IMPORTRANGE(""https://docs.google.com/spreadsheets/d/11923uPwbBZFjjGgGUA6NLw09EwE0CqkOc4q9oUmW1yo/edit?usp=sharing"",""อุทัยธานี!M431"")"),0)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IFERROR(__xludf.DUMMYFUNCTION("IMPORTRANGE(""https://docs.google.com/spreadsheets/d/11923uPwbBZFjjGgGUA6NLw09EwE0CqkOc4q9oUmW1yo/edit?usp=sharing"",""อุทัยธานี!L432"")"),36040)</f>
        <v>36040</v>
      </c>
      <c r="M537" s="178"/>
      <c r="N537" s="178">
        <f ca="1">IFERROR(__xludf.DUMMYFUNCTION("IMPORTRANGE(""https://docs.google.com/spreadsheets/d/11923uPwbBZFjjGgGUA6NLw09EwE0CqkOc4q9oUmW1yo/edit?usp=sharing"",""อุทัยธานี!M432"")"),30290)</f>
        <v>30290</v>
      </c>
      <c r="O537" s="178">
        <f t="shared" ca="1" si="118"/>
        <v>84.04550499445061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IFERROR(__xludf.DUMMYFUNCTION("IMPORTRANGE(""https://docs.google.com/spreadsheets/d/11923uPwbBZFjjGgGUA6NLw09EwE0CqkOc4q9oUmW1yo/edit?usp=sharing"",""อุทัยธานี!M433"")"),20440)</f>
        <v>20440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IFERROR(__xludf.DUMMYFUNCTION("IMPORTRANGE(""https://docs.google.com/spreadsheets/d/11923uPwbBZFjjGgGUA6NLw09EwE0CqkOc4q9oUmW1yo/edit?usp=sharing"",""อุทัยธานี!M434"")"),0)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IFERROR(__xludf.DUMMYFUNCTION("IMPORTRANGE(""https://docs.google.com/spreadsheets/d/11923uPwbBZFjjGgGUA6NLw09EwE0CqkOc4q9oUmW1yo/edit?usp=sharing"",""อุทัยธานี!M435"")"),0)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IFERROR(__xludf.DUMMYFUNCTION("IMPORTRANGE(""https://docs.google.com/spreadsheets/d/11923uPwbBZFjjGgGUA6NLw09EwE0CqkOc4q9oUmW1yo/edit?usp=sharing"",""อุทัยธานี!M436"")"),9850)</f>
        <v>9850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IFERROR(__xludf.DUMMYFUNCTION("IMPORTRANGE(""https://docs.google.com/spreadsheets/d/11923uPwbBZFjjGgGUA6NLw09EwE0CqkOc4q9oUmW1yo/edit?usp=sharing"",""อุทัยธานี!J438"")"),0)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IFERROR(__xludf.DUMMYFUNCTION("IMPORTRANGE(""https://docs.google.com/spreadsheets/d/11923uPwbBZFjjGgGUA6NLw09EwE0CqkOc4q9oUmW1yo/edit?usp=sharing"",""อุทัยธานี!J439"")"),1)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IFERROR(__xludf.DUMMYFUNCTION("IMPORTRANGE(""https://docs.google.com/spreadsheets/d/11923uPwbBZFjjGgGUA6NLw09EwE0CqkOc4q9oUmW1yo/edit?usp=sharing"",""อุทัยธานี!J440"")"),1)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IFERROR(__xludf.DUMMYFUNCTION("IMPORTRANGE(""https://docs.google.com/spreadsheets/d/11923uPwbBZFjjGgGUA6NLw09EwE0CqkOc4q9oUmW1yo/edit?usp=sharing"",""อุทัยธานี!J441"")"),1)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IFERROR(__xludf.DUMMYFUNCTION("IMPORTRANGE(""https://docs.google.com/spreadsheets/d/11923uPwbBZFjjGgGUA6NLw09EwE0CqkOc4q9oUmW1yo/edit?usp=sharing"",""อุทัยธานี!I442"")"),24)</f>
        <v>24</v>
      </c>
      <c r="J547" s="198">
        <f ca="1">IFERROR(__xludf.DUMMYFUNCTION("IMPORTRANGE(""https://docs.google.com/spreadsheets/d/11923uPwbBZFjjGgGUA6NLw09EwE0CqkOc4q9oUmW1yo/edit?usp=sharing"",""อุทัยธานี!J442"")"),24)</f>
        <v>24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IFERROR(__xludf.DUMMYFUNCTION("IMPORTRANGE(""https://docs.google.com/spreadsheets/d/11923uPwbBZFjjGgGUA6NLw09EwE0CqkOc4q9oUmW1yo/edit?usp=sharing"",""อุทัยธานี!J166"")"),0)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IFERROR(__xludf.DUMMYFUNCTION("IMPORTRANGE(""https://docs.google.com/spreadsheets/d/11923uPwbBZFjjGgGUA6NLw09EwE0CqkOc4q9oUmW1yo/edit?usp=sharing"",""อุทัยธานี!J444"")"),0)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IFERROR(__xludf.DUMMYFUNCTION("IMPORTRANGE(""https://docs.google.com/spreadsheets/d/11923uPwbBZFjjGgGUA6NLw09EwE0CqkOc4q9oUmW1yo/edit?usp=sharing"",""อุทัยธานี!J445"")"),0)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IFERROR(__xludf.DUMMYFUNCTION("IMPORTRANGE(""https://docs.google.com/spreadsheets/d/11923uPwbBZFjjGgGUA6NLw09EwE0CqkOc4q9oUmW1yo/edit?usp=sharing"",""อุทัยธานี!I446"")"),0)</f>
        <v>0</v>
      </c>
      <c r="J551" s="418">
        <f ca="1">IFERROR(__xludf.DUMMYFUNCTION("IMPORTRANGE(""https://docs.google.com/spreadsheets/d/11923uPwbBZFjjGgGUA6NLw09EwE0CqkOc4q9oUmW1yo/edit?usp=sharing"",""อุทัยธานี!J446"")"),0)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IFERROR(__xludf.DUMMYFUNCTION("IMPORTRANGE(""https://docs.google.com/spreadsheets/d/11923uPwbBZFjjGgGUA6NLw09EwE0CqkOc4q9oUmW1yo/edit?usp=sharing"",""อุทัยธานี!L446"")"),0)</f>
        <v>0</v>
      </c>
      <c r="M551" s="420"/>
      <c r="N551" s="420">
        <f ca="1">IFERROR(__xludf.DUMMYFUNCTION("IMPORTRANGE(""https://docs.google.com/spreadsheets/d/11923uPwbBZFjjGgGUA6NLw09EwE0CqkOc4q9oUmW1yo/edit?usp=sharing"",""อุทัยธานี!M446"")"),0)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IFERROR(__xludf.DUMMYFUNCTION("IMPORTRANGE(""https://docs.google.com/spreadsheets/d/11923uPwbBZFjjGgGUA6NLw09EwE0CqkOc4q9oUmW1yo/edit?usp=sharing"",""อุทัยธานี!L447"")"),0)</f>
        <v>0</v>
      </c>
      <c r="M552" s="172"/>
      <c r="N552" s="178">
        <f ca="1">IFERROR(__xludf.DUMMYFUNCTION("IMPORTRANGE(""https://docs.google.com/spreadsheets/d/11923uPwbBZFjjGgGUA6NLw09EwE0CqkOc4q9oUmW1yo/edit?usp=sharing"",""อุทัยธานี!M447"")"),0)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IFERROR(__xludf.DUMMYFUNCTION("IMPORTRANGE(""https://docs.google.com/spreadsheets/d/11923uPwbBZFjjGgGUA6NLw09EwE0CqkOc4q9oUmW1yo/edit?usp=sharing"",""อุทัยธานี!L448"")"),0)</f>
        <v>0</v>
      </c>
      <c r="M553" s="173"/>
      <c r="N553" s="178">
        <f ca="1">IFERROR(__xludf.DUMMYFUNCTION("IMPORTRANGE(""https://docs.google.com/spreadsheets/d/11923uPwbBZFjjGgGUA6NLw09EwE0CqkOc4q9oUmW1yo/edit?usp=sharing"",""อุทัยธานี!M448"")"),0)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IFERROR(__xludf.DUMMYFUNCTION("IMPORTRANGE(""https://docs.google.com/spreadsheets/d/11923uPwbBZFjjGgGUA6NLw09EwE0CqkOc4q9oUmW1yo/edit?usp=sharing"",""อุทัยธานี!L449"")"),0)</f>
        <v>0</v>
      </c>
      <c r="M554" s="178"/>
      <c r="N554" s="178">
        <f ca="1">IFERROR(__xludf.DUMMYFUNCTION("IMPORTRANGE(""https://docs.google.com/spreadsheets/d/11923uPwbBZFjjGgGUA6NLw09EwE0CqkOc4q9oUmW1yo/edit?usp=sharing"",""อุทัยธานี!M449"")"),0)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IFERROR(__xludf.DUMMYFUNCTION("IMPORTRANGE(""https://docs.google.com/spreadsheets/d/11923uPwbBZFjjGgGUA6NLw09EwE0CqkOc4q9oUmW1yo/edit?usp=sharing"",""อุทัยธานี!L450"")"),0)</f>
        <v>0</v>
      </c>
      <c r="M555" s="178"/>
      <c r="N555" s="178">
        <f ca="1">IFERROR(__xludf.DUMMYFUNCTION("IMPORTRANGE(""https://docs.google.com/spreadsheets/d/11923uPwbBZFjjGgGUA6NLw09EwE0CqkOc4q9oUmW1yo/edit?usp=sharing"",""อุทัยธานี!M450"")"),0)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IFERROR(__xludf.DUMMYFUNCTION("IMPORTRANGE(""https://docs.google.com/spreadsheets/d/11923uPwbBZFjjGgGUA6NLw09EwE0CqkOc4q9oUmW1yo/edit?usp=sharing"",""อุทัยธานี!M451"")"),0)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IFERROR(__xludf.DUMMYFUNCTION("IMPORTRANGE(""https://docs.google.com/spreadsheets/d/11923uPwbBZFjjGgGUA6NLw09EwE0CqkOc4q9oUmW1yo/edit?usp=sharing"",""อุทัยธานี!M452"")"),0)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IFERROR(__xludf.DUMMYFUNCTION("IMPORTRANGE(""https://docs.google.com/spreadsheets/d/11923uPwbBZFjjGgGUA6NLw09EwE0CqkOc4q9oUmW1yo/edit?usp=sharing"",""อุทัยธานี!M453"")"),0)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IFERROR(__xludf.DUMMYFUNCTION("IMPORTRANGE(""https://docs.google.com/spreadsheets/d/11923uPwbBZFjjGgGUA6NLw09EwE0CqkOc4q9oUmW1yo/edit?usp=sharing"",""อุทัยธานี!M454"")"),0)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IFERROR(__xludf.DUMMYFUNCTION("IMPORTRANGE(""https://docs.google.com/spreadsheets/d/11923uPwbBZFjjGgGUA6NLw09EwE0CqkOc4q9oUmW1yo/edit?usp=sharing"",""อุทัยธานี!I455"")"),0)</f>
        <v>0</v>
      </c>
      <c r="J560" s="170">
        <f ca="1">IFERROR(__xludf.DUMMYFUNCTION("IMPORTRANGE(""https://docs.google.com/spreadsheets/d/11923uPwbBZFjjGgGUA6NLw09EwE0CqkOc4q9oUmW1yo/edit?usp=sharing"",""อุทัยธานี!J455"")"),0)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IFERROR(__xludf.DUMMYFUNCTION("IMPORTRANGE(""https://docs.google.com/spreadsheets/d/11923uPwbBZFjjGgGUA6NLw09EwE0CqkOc4q9oUmW1yo/edit?usp=sharing"",""อุทัยธานี!I456"")"),0)</f>
        <v>0</v>
      </c>
      <c r="J561" s="213">
        <f ca="1">IFERROR(__xludf.DUMMYFUNCTION("IMPORTRANGE(""https://docs.google.com/spreadsheets/d/11923uPwbBZFjjGgGUA6NLw09EwE0CqkOc4q9oUmW1yo/edit?usp=sharing"",""อุทัยธานี!J456"")"),0)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 t="str">
        <f ca="1">IFERROR(__xludf.DUMMYFUNCTION("IMPORTRANGE(""https://docs.google.com/spreadsheets/d/11923uPwbBZFjjGgGUA6NLw09EwE0CqkOc4q9oUmW1yo/edit?usp=sharing"",""อุทัยธานี!I457"")"),"")</f>
        <v/>
      </c>
      <c r="J562" s="213" t="str">
        <f ca="1">IFERROR(__xludf.DUMMYFUNCTION("IMPORTRANGE(""https://docs.google.com/spreadsheets/d/11923uPwbBZFjjGgGUA6NLw09EwE0CqkOc4q9oUmW1yo/edit?usp=sharing"",""อุทัยธานี!J457"")"),"")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 t="str">
        <f ca="1">IFERROR(__xludf.DUMMYFUNCTION("IMPORTRANGE(""https://docs.google.com/spreadsheets/d/11923uPwbBZFjjGgGUA6NLw09EwE0CqkOc4q9oUmW1yo/edit?usp=sharing"",""อุทัยธานี!I458"")"),"")</f>
        <v/>
      </c>
      <c r="J563" s="197" t="str">
        <f ca="1">IFERROR(__xludf.DUMMYFUNCTION("IMPORTRANGE(""https://docs.google.com/spreadsheets/d/11923uPwbBZFjjGgGUA6NLw09EwE0CqkOc4q9oUmW1yo/edit?usp=sharing"",""อุทัยธานี!J458"")"),"")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IFERROR(__xludf.DUMMYFUNCTION("IMPORTRANGE(""https://docs.google.com/spreadsheets/d/11923uPwbBZFjjGgGUA6NLw09EwE0CqkOc4q9oUmW1yo/edit?usp=sharing"",""อุทัยธานี!I459"")"),1550)</f>
        <v>1550</v>
      </c>
      <c r="J564" s="379">
        <f ca="1">IFERROR(__xludf.DUMMYFUNCTION("IMPORTRANGE(""https://docs.google.com/spreadsheets/d/11923uPwbBZFjjGgGUA6NLw09EwE0CqkOc4q9oUmW1yo/edit?usp=sharing"",""อุทัยธานี!J459"")"),975)</f>
        <v>975</v>
      </c>
      <c r="K564" s="380">
        <f t="shared" ca="1" si="121"/>
        <v>62.903225806451616</v>
      </c>
      <c r="L564" s="381">
        <f ca="1">IFERROR(__xludf.DUMMYFUNCTION("IMPORTRANGE(""https://docs.google.com/spreadsheets/d/11923uPwbBZFjjGgGUA6NLw09EwE0CqkOc4q9oUmW1yo/edit?usp=sharing"",""อุทัยธานี!L459"")"),136880)</f>
        <v>136880</v>
      </c>
      <c r="M564" s="381"/>
      <c r="N564" s="381">
        <f ca="1">IFERROR(__xludf.DUMMYFUNCTION("IMPORTRANGE(""https://docs.google.com/spreadsheets/d/11923uPwbBZFjjGgGUA6NLw09EwE0CqkOc4q9oUmW1yo/edit?usp=sharing"",""อุทัยธานี!M459"")"),31735.33)</f>
        <v>31735.33</v>
      </c>
      <c r="O564" s="381">
        <f t="shared" ref="O564:O568" ca="1" si="122">+IF(L564&gt;0,N564*100/L564,0)</f>
        <v>23.184782291057861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IFERROR(__xludf.DUMMYFUNCTION("IMPORTRANGE(""https://docs.google.com/spreadsheets/d/11923uPwbBZFjjGgGUA6NLw09EwE0CqkOc4q9oUmW1yo/edit?usp=sharing"",""อุทัยธานี!L460"")"),0)</f>
        <v>0</v>
      </c>
      <c r="M565" s="172"/>
      <c r="N565" s="178">
        <f ca="1">IFERROR(__xludf.DUMMYFUNCTION("IMPORTRANGE(""https://docs.google.com/spreadsheets/d/11923uPwbBZFjjGgGUA6NLw09EwE0CqkOc4q9oUmW1yo/edit?usp=sharing"",""อุทัยธานี!M460"")"),0)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IFERROR(__xludf.DUMMYFUNCTION("IMPORTRANGE(""https://docs.google.com/spreadsheets/d/11923uPwbBZFjjGgGUA6NLw09EwE0CqkOc4q9oUmW1yo/edit?usp=sharing"",""อุทัยธานี!L461"")"),136880)</f>
        <v>136880</v>
      </c>
      <c r="M566" s="173"/>
      <c r="N566" s="178">
        <f ca="1">IFERROR(__xludf.DUMMYFUNCTION("IMPORTRANGE(""https://docs.google.com/spreadsheets/d/11923uPwbBZFjjGgGUA6NLw09EwE0CqkOc4q9oUmW1yo/edit?usp=sharing"",""อุทัยธานี!M461"")"),31735.33)</f>
        <v>31735.33</v>
      </c>
      <c r="O566" s="178">
        <f t="shared" ca="1" si="122"/>
        <v>23.184782291057861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IFERROR(__xludf.DUMMYFUNCTION("IMPORTRANGE(""https://docs.google.com/spreadsheets/d/11923uPwbBZFjjGgGUA6NLw09EwE0CqkOc4q9oUmW1yo/edit?usp=sharing"",""อุทัยธานี!L462"")"),0)</f>
        <v>0</v>
      </c>
      <c r="M567" s="178"/>
      <c r="N567" s="178">
        <f ca="1">IFERROR(__xludf.DUMMYFUNCTION("IMPORTRANGE(""https://docs.google.com/spreadsheets/d/11923uPwbBZFjjGgGUA6NLw09EwE0CqkOc4q9oUmW1yo/edit?usp=sharing"",""อุทัยธานี!M462"")"),0)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IFERROR(__xludf.DUMMYFUNCTION("IMPORTRANGE(""https://docs.google.com/spreadsheets/d/11923uPwbBZFjjGgGUA6NLw09EwE0CqkOc4q9oUmW1yo/edit?usp=sharing"",""อุทัยธานี!L463"")"),136880)</f>
        <v>136880</v>
      </c>
      <c r="M568" s="178"/>
      <c r="N568" s="178">
        <f ca="1">IFERROR(__xludf.DUMMYFUNCTION("IMPORTRANGE(""https://docs.google.com/spreadsheets/d/11923uPwbBZFjjGgGUA6NLw09EwE0CqkOc4q9oUmW1yo/edit?usp=sharing"",""อุทัยธานี!M463"")"),31735.33)</f>
        <v>31735.33</v>
      </c>
      <c r="O568" s="178">
        <f t="shared" ca="1" si="122"/>
        <v>23.184782291057861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IFERROR(__xludf.DUMMYFUNCTION("IMPORTRANGE(""https://docs.google.com/spreadsheets/d/11923uPwbBZFjjGgGUA6NLw09EwE0CqkOc4q9oUmW1yo/edit?usp=sharing"",""อุทัยธานี!M464"")"),0)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IFERROR(__xludf.DUMMYFUNCTION("IMPORTRANGE(""https://docs.google.com/spreadsheets/d/11923uPwbBZFjjGgGUA6NLw09EwE0CqkOc4q9oUmW1yo/edit?usp=sharing"",""อุทัยธานี!M465"")"),0)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IFERROR(__xludf.DUMMYFUNCTION("IMPORTRANGE(""https://docs.google.com/spreadsheets/d/11923uPwbBZFjjGgGUA6NLw09EwE0CqkOc4q9oUmW1yo/edit?usp=sharing"",""อุทัยธานี!M466"")"),19122.33)</f>
        <v>19122.330000000002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IFERROR(__xludf.DUMMYFUNCTION("IMPORTRANGE(""https://docs.google.com/spreadsheets/d/11923uPwbBZFjjGgGUA6NLw09EwE0CqkOc4q9oUmW1yo/edit?usp=sharing"",""อุทัยธานี!M467"")"),12613)</f>
        <v>12613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IFERROR(__xludf.DUMMYFUNCTION("IMPORTRANGE(""https://docs.google.com/spreadsheets/d/11923uPwbBZFjjGgGUA6NLw09EwE0CqkOc4q9oUmW1yo/edit?usp=sharing"",""อุทัยธานี!I468"")"),1550)</f>
        <v>1550</v>
      </c>
      <c r="J573" s="428">
        <f ca="1">IFERROR(__xludf.DUMMYFUNCTION("IMPORTRANGE(""https://docs.google.com/spreadsheets/d/11923uPwbBZFjjGgGUA6NLw09EwE0CqkOc4q9oUmW1yo/edit?usp=sharing"",""อุทัยธานี!J468"")"),975)</f>
        <v>975</v>
      </c>
      <c r="K573" s="211">
        <f ca="1">IF(I573&gt;0,J573*100/I573,0)</f>
        <v>62.903225806451616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IFERROR(__xludf.DUMMYFUNCTION("IMPORTRANGE(""https://docs.google.com/spreadsheets/d/11923uPwbBZFjjGgGUA6NLw09EwE0CqkOc4q9oUmW1yo/edit?usp=sharing"",""อุทัยธานี!I470"")"),0)</f>
        <v>0</v>
      </c>
      <c r="J575" s="207">
        <f ca="1">IFERROR(__xludf.DUMMYFUNCTION("IMPORTRANGE(""https://docs.google.com/spreadsheets/d/11923uPwbBZFjjGgGUA6NLw09EwE0CqkOc4q9oUmW1yo/edit?usp=sharing"",""อุทัยธานี!J470"")"),4)</f>
        <v>4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IFERROR(__xludf.DUMMYFUNCTION("IMPORTRANGE(""https://docs.google.com/spreadsheets/d/11923uPwbBZFjjGgGUA6NLw09EwE0CqkOc4q9oUmW1yo/edit?usp=sharing"",""อุทัยธานี!I471"")"),0)</f>
        <v>0</v>
      </c>
      <c r="J576" s="207">
        <f ca="1">IFERROR(__xludf.DUMMYFUNCTION("IMPORTRANGE(""https://docs.google.com/spreadsheets/d/11923uPwbBZFjjGgGUA6NLw09EwE0CqkOc4q9oUmW1yo/edit?usp=sharing"",""อุทัยธานี!J471"")"),225)</f>
        <v>225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IFERROR(__xludf.DUMMYFUNCTION("IMPORTRANGE(""https://docs.google.com/spreadsheets/d/11923uPwbBZFjjGgGUA6NLw09EwE0CqkOc4q9oUmW1yo/edit?usp=sharing"",""อุทัยธานี!I472"")"),0)</f>
        <v>0</v>
      </c>
      <c r="J577" s="198">
        <f ca="1">IFERROR(__xludf.DUMMYFUNCTION("IMPORTRANGE(""https://docs.google.com/spreadsheets/d/11923uPwbBZFjjGgGUA6NLw09EwE0CqkOc4q9oUmW1yo/edit?usp=sharing"",""อุทัยธานี!J472"")"),750)</f>
        <v>750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IFERROR(__xludf.DUMMYFUNCTION("IMPORTRANGE(""https://docs.google.com/spreadsheets/d/11923uPwbBZFjjGgGUA6NLw09EwE0CqkOc4q9oUmW1yo/edit?usp=sharing"",""อุทัยธานี!I473"")"),0)</f>
        <v>0</v>
      </c>
      <c r="J578" s="207">
        <f ca="1">IFERROR(__xludf.DUMMYFUNCTION("IMPORTRANGE(""https://docs.google.com/spreadsheets/d/11923uPwbBZFjjGgGUA6NLw09EwE0CqkOc4q9oUmW1yo/edit?usp=sharing"",""อุทัยธานี!J473"")"),0)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IFERROR(__xludf.DUMMYFUNCTION("IMPORTRANGE(""https://docs.google.com/spreadsheets/d/11923uPwbBZFjjGgGUA6NLw09EwE0CqkOc4q9oUmW1yo/edit?usp=sharing"",""อุทัยธานี!I474"")"),0)</f>
        <v>0</v>
      </c>
      <c r="J579" s="207">
        <f ca="1">IFERROR(__xludf.DUMMYFUNCTION("IMPORTRANGE(""https://docs.google.com/spreadsheets/d/11923uPwbBZFjjGgGUA6NLw09EwE0CqkOc4q9oUmW1yo/edit?usp=sharing"",""อุทัยธานี!J474"")"),0)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IFERROR(__xludf.DUMMYFUNCTION("IMPORTRANGE(""https://docs.google.com/spreadsheets/d/11923uPwbBZFjjGgGUA6NLw09EwE0CqkOc4q9oUmW1yo/edit?usp=sharing"",""อุทัยธานี!I475"")"),7)</f>
        <v>7</v>
      </c>
      <c r="J580" s="379">
        <f ca="1">IFERROR(__xludf.DUMMYFUNCTION("IMPORTRANGE(""https://docs.google.com/spreadsheets/d/11923uPwbBZFjjGgGUA6NLw09EwE0CqkOc4q9oUmW1yo/edit?usp=sharing"",""อุทัยธานี!J475"")"),2)</f>
        <v>2</v>
      </c>
      <c r="K580" s="380">
        <f ca="1">IF(I580&gt;0,J580*100/I580,0)</f>
        <v>28.571428571428573</v>
      </c>
      <c r="L580" s="381">
        <f ca="1">IFERROR(__xludf.DUMMYFUNCTION("IMPORTRANGE(""https://docs.google.com/spreadsheets/d/11923uPwbBZFjjGgGUA6NLw09EwE0CqkOc4q9oUmW1yo/edit?usp=sharing"",""อุทัยธานี!L475"")"),111857)</f>
        <v>111857</v>
      </c>
      <c r="M580" s="381"/>
      <c r="N580" s="381">
        <f ca="1">IFERROR(__xludf.DUMMYFUNCTION("IMPORTRANGE(""https://docs.google.com/spreadsheets/d/11923uPwbBZFjjGgGUA6NLw09EwE0CqkOc4q9oUmW1yo/edit?usp=sharing"",""อุทัยธานี!M475"")"),3350)</f>
        <v>3350</v>
      </c>
      <c r="O580" s="381">
        <f t="shared" ref="O580:O584" ca="1" si="124">+IF(L580&gt;0,N580*100/L580,0)</f>
        <v>2.9948952680654766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IFERROR(__xludf.DUMMYFUNCTION("IMPORTRANGE(""https://docs.google.com/spreadsheets/d/11923uPwbBZFjjGgGUA6NLw09EwE0CqkOc4q9oUmW1yo/edit?usp=sharing"",""อุทัยธานี!L476"")"),0)</f>
        <v>0</v>
      </c>
      <c r="M581" s="172"/>
      <c r="N581" s="178">
        <f ca="1">IFERROR(__xludf.DUMMYFUNCTION("IMPORTRANGE(""https://docs.google.com/spreadsheets/d/11923uPwbBZFjjGgGUA6NLw09EwE0CqkOc4q9oUmW1yo/edit?usp=sharing"",""อุทัยธานี!M476"")"),0)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IFERROR(__xludf.DUMMYFUNCTION("IMPORTRANGE(""https://docs.google.com/spreadsheets/d/11923uPwbBZFjjGgGUA6NLw09EwE0CqkOc4q9oUmW1yo/edit?usp=sharing"",""อุทัยธานี!L477"")"),111857)</f>
        <v>111857</v>
      </c>
      <c r="M582" s="173"/>
      <c r="N582" s="178">
        <f ca="1">IFERROR(__xludf.DUMMYFUNCTION("IMPORTRANGE(""https://docs.google.com/spreadsheets/d/11923uPwbBZFjjGgGUA6NLw09EwE0CqkOc4q9oUmW1yo/edit?usp=sharing"",""อุทัยธานี!M477"")"),3350)</f>
        <v>3350</v>
      </c>
      <c r="O582" s="178">
        <f t="shared" ca="1" si="124"/>
        <v>2.9948952680654766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IFERROR(__xludf.DUMMYFUNCTION("IMPORTRANGE(""https://docs.google.com/spreadsheets/d/11923uPwbBZFjjGgGUA6NLw09EwE0CqkOc4q9oUmW1yo/edit?usp=sharing"",""อุทัยธานี!L478"")"),0)</f>
        <v>0</v>
      </c>
      <c r="M583" s="178"/>
      <c r="N583" s="178">
        <f ca="1">IFERROR(__xludf.DUMMYFUNCTION("IMPORTRANGE(""https://docs.google.com/spreadsheets/d/11923uPwbBZFjjGgGUA6NLw09EwE0CqkOc4q9oUmW1yo/edit?usp=sharing"",""อุทัยธานี!M478"")"),0)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IFERROR(__xludf.DUMMYFUNCTION("IMPORTRANGE(""https://docs.google.com/spreadsheets/d/11923uPwbBZFjjGgGUA6NLw09EwE0CqkOc4q9oUmW1yo/edit?usp=sharing"",""อุทัยธานี!L479"")"),111857)</f>
        <v>111857</v>
      </c>
      <c r="M584" s="178"/>
      <c r="N584" s="178">
        <f ca="1">IFERROR(__xludf.DUMMYFUNCTION("IMPORTRANGE(""https://docs.google.com/spreadsheets/d/11923uPwbBZFjjGgGUA6NLw09EwE0CqkOc4q9oUmW1yo/edit?usp=sharing"",""อุทัยธานี!M479"")"),3350)</f>
        <v>3350</v>
      </c>
      <c r="O584" s="178">
        <f t="shared" ca="1" si="124"/>
        <v>2.9948952680654766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IFERROR(__xludf.DUMMYFUNCTION("IMPORTRANGE(""https://docs.google.com/spreadsheets/d/11923uPwbBZFjjGgGUA6NLw09EwE0CqkOc4q9oUmW1yo/edit?usp=sharing"",""อุทัยธานี!M480"")"),0)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IFERROR(__xludf.DUMMYFUNCTION("IMPORTRANGE(""https://docs.google.com/spreadsheets/d/11923uPwbBZFjjGgGUA6NLw09EwE0CqkOc4q9oUmW1yo/edit?usp=sharing"",""อุทัยธานี!M481"")"),0)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IFERROR(__xludf.DUMMYFUNCTION("IMPORTRANGE(""https://docs.google.com/spreadsheets/d/11923uPwbBZFjjGgGUA6NLw09EwE0CqkOc4q9oUmW1yo/edit?usp=sharing"",""อุทัยธานี!M482"")"),0)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IFERROR(__xludf.DUMMYFUNCTION("IMPORTRANGE(""https://docs.google.com/spreadsheets/d/11923uPwbBZFjjGgGUA6NLw09EwE0CqkOc4q9oUmW1yo/edit?usp=sharing"",""อุทัยธานี!M483"")"),3350)</f>
        <v>3350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IFERROR(__xludf.DUMMYFUNCTION("IMPORTRANGE(""https://docs.google.com/spreadsheets/d/11923uPwbBZFjjGgGUA6NLw09EwE0CqkOc4q9oUmW1yo/edit?usp=sharing"",""อุทัยธานี!I484"")"),7)</f>
        <v>7</v>
      </c>
      <c r="J589" s="197">
        <f ca="1">IFERROR(__xludf.DUMMYFUNCTION("IMPORTRANGE(""https://docs.google.com/spreadsheets/d/11923uPwbBZFjjGgGUA6NLw09EwE0CqkOc4q9oUmW1yo/edit?usp=sharing"",""อุทัยธานี!J484"")"),4)</f>
        <v>4</v>
      </c>
      <c r="K589" s="171">
        <f t="shared" ref="K589:K596" ca="1" si="125">IF(I589&gt;0,J589*100/I589,0)</f>
        <v>57.142857142857146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IFERROR(__xludf.DUMMYFUNCTION("IMPORTRANGE(""https://docs.google.com/spreadsheets/d/11923uPwbBZFjjGgGUA6NLw09EwE0CqkOc4q9oUmW1yo/edit?usp=sharing"",""อุทัยธานี!I485"")"),0)</f>
        <v>0</v>
      </c>
      <c r="J590" s="197">
        <f ca="1">IFERROR(__xludf.DUMMYFUNCTION("IMPORTRANGE(""https://docs.google.com/spreadsheets/d/11923uPwbBZFjjGgGUA6NLw09EwE0CqkOc4q9oUmW1yo/edit?usp=sharing"",""อุทัยธานี!J485"")"),3.02)</f>
        <v>3.02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IFERROR(__xludf.DUMMYFUNCTION("IMPORTRANGE(""https://docs.google.com/spreadsheets/d/11923uPwbBZFjjGgGUA6NLw09EwE0CqkOc4q9oUmW1yo/edit?usp=sharing"",""อุทัยธานี!I486"")"),7)</f>
        <v>7</v>
      </c>
      <c r="J591" s="197">
        <f ca="1">IFERROR(__xludf.DUMMYFUNCTION("IMPORTRANGE(""https://docs.google.com/spreadsheets/d/11923uPwbBZFjjGgGUA6NLw09EwE0CqkOc4q9oUmW1yo/edit?usp=sharing"",""อุทัยธานี!J486"")"),6)</f>
        <v>6</v>
      </c>
      <c r="K591" s="171">
        <f t="shared" ca="1" si="125"/>
        <v>85.714285714285708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IFERROR(__xludf.DUMMYFUNCTION("IMPORTRANGE(""https://docs.google.com/spreadsheets/d/11923uPwbBZFjjGgGUA6NLw09EwE0CqkOc4q9oUmW1yo/edit?usp=sharing"",""อุทัยธานี!I487"")"),0)</f>
        <v>0</v>
      </c>
      <c r="J592" s="197">
        <f ca="1">IFERROR(__xludf.DUMMYFUNCTION("IMPORTRANGE(""https://docs.google.com/spreadsheets/d/11923uPwbBZFjjGgGUA6NLw09EwE0CqkOc4q9oUmW1yo/edit?usp=sharing"",""อุทัยธานี!J487"")"),4.33)</f>
        <v>4.33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IFERROR(__xludf.DUMMYFUNCTION("IMPORTRANGE(""https://docs.google.com/spreadsheets/d/11923uPwbBZFjjGgGUA6NLw09EwE0CqkOc4q9oUmW1yo/edit?usp=sharing"",""อุทัยธานี!I488"")"),7)</f>
        <v>7</v>
      </c>
      <c r="J593" s="197">
        <f ca="1">IFERROR(__xludf.DUMMYFUNCTION("IMPORTRANGE(""https://docs.google.com/spreadsheets/d/11923uPwbBZFjjGgGUA6NLw09EwE0CqkOc4q9oUmW1yo/edit?usp=sharing"",""อุทัยธานี!J488"")"),4)</f>
        <v>4</v>
      </c>
      <c r="K593" s="171">
        <f t="shared" ca="1" si="125"/>
        <v>57.142857142857146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IFERROR(__xludf.DUMMYFUNCTION("IMPORTRANGE(""https://docs.google.com/spreadsheets/d/11923uPwbBZFjjGgGUA6NLw09EwE0CqkOc4q9oUmW1yo/edit?usp=sharing"",""อุทัยธานี!I489"")"),0)</f>
        <v>0</v>
      </c>
      <c r="J594" s="197">
        <f ca="1">IFERROR(__xludf.DUMMYFUNCTION("IMPORTRANGE(""https://docs.google.com/spreadsheets/d/11923uPwbBZFjjGgGUA6NLw09EwE0CqkOc4q9oUmW1yo/edit?usp=sharing"",""อุทัยธานี!J489"")"),3.07)</f>
        <v>3.07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IFERROR(__xludf.DUMMYFUNCTION("IMPORTRANGE(""https://docs.google.com/spreadsheets/d/11923uPwbBZFjjGgGUA6NLw09EwE0CqkOc4q9oUmW1yo/edit?usp=sharing"",""อุทัยธานี!I490"")"),7)</f>
        <v>7</v>
      </c>
      <c r="J595" s="197">
        <f ca="1">IFERROR(__xludf.DUMMYFUNCTION("IMPORTRANGE(""https://docs.google.com/spreadsheets/d/11923uPwbBZFjjGgGUA6NLw09EwE0CqkOc4q9oUmW1yo/edit?usp=sharing"",""อุทัยธานี!J490"")"),2)</f>
        <v>2</v>
      </c>
      <c r="K595" s="171">
        <f t="shared" ca="1" si="125"/>
        <v>28.571428571428573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IFERROR(__xludf.DUMMYFUNCTION("IMPORTRANGE(""https://docs.google.com/spreadsheets/d/11923uPwbBZFjjGgGUA6NLw09EwE0CqkOc4q9oUmW1yo/edit?usp=sharing"",""อุทัยธานี!I491"")"),0)</f>
        <v>0</v>
      </c>
      <c r="J596" s="250">
        <f ca="1">IFERROR(__xludf.DUMMYFUNCTION("IMPORTRANGE(""https://docs.google.com/spreadsheets/d/11923uPwbBZFjjGgGUA6NLw09EwE0CqkOc4q9oUmW1yo/edit?usp=sharing"",""อุทัยธานี!J491"")"),1.26)</f>
        <v>1.26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IFERROR(__xludf.DUMMYFUNCTION("IMPORTRANGE(""https://docs.google.com/spreadsheets/d/11923uPwbBZFjjGgGUA6NLw09EwE0CqkOc4q9oUmW1yo/edit?usp=sharing"",""อุทัยธานี!I492"")"),50)</f>
        <v>50</v>
      </c>
      <c r="J597" s="495">
        <f ca="1">IFERROR(__xludf.DUMMYFUNCTION("IMPORTRANGE(""https://docs.google.com/spreadsheets/d/11923uPwbBZFjjGgGUA6NLw09EwE0CqkOc4q9oUmW1yo/edit?usp=sharing"",""อุทัยธานี!J492"")"),0)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IFERROR(__xludf.DUMMYFUNCTION("IMPORTRANGE(""https://docs.google.com/spreadsheets/d/11923uPwbBZFjjGgGUA6NLw09EwE0CqkOc4q9oUmW1yo/edit?usp=sharing"",""อุทัยธานี!L492"")"),8550)</f>
        <v>8550</v>
      </c>
      <c r="M597" s="420"/>
      <c r="N597" s="420">
        <f ca="1">IFERROR(__xludf.DUMMYFUNCTION("IMPORTRANGE(""https://docs.google.com/spreadsheets/d/11923uPwbBZFjjGgGUA6NLw09EwE0CqkOc4q9oUmW1yo/edit?usp=sharing"",""อุทัยธานี!M492"")"),5800)</f>
        <v>5800</v>
      </c>
      <c r="O597" s="420">
        <f t="shared" ref="O597:O601" ca="1" si="126">+IF(L597&gt;0,N597*100/L597,0)</f>
        <v>67.836257309941516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IFERROR(__xludf.DUMMYFUNCTION("IMPORTRANGE(""https://docs.google.com/spreadsheets/d/11923uPwbBZFjjGgGUA6NLw09EwE0CqkOc4q9oUmW1yo/edit?usp=sharing"",""อุทัยธานี!L493"")"),0)</f>
        <v>0</v>
      </c>
      <c r="M598" s="172"/>
      <c r="N598" s="178">
        <f ca="1">IFERROR(__xludf.DUMMYFUNCTION("IMPORTRANGE(""https://docs.google.com/spreadsheets/d/11923uPwbBZFjjGgGUA6NLw09EwE0CqkOc4q9oUmW1yo/edit?usp=sharing"",""อุทัยธานี!M493"")"),0)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IFERROR(__xludf.DUMMYFUNCTION("IMPORTRANGE(""https://docs.google.com/spreadsheets/d/11923uPwbBZFjjGgGUA6NLw09EwE0CqkOc4q9oUmW1yo/edit?usp=sharing"",""อุทัยธานี!L494"")"),8550)</f>
        <v>8550</v>
      </c>
      <c r="M599" s="173"/>
      <c r="N599" s="178">
        <f ca="1">IFERROR(__xludf.DUMMYFUNCTION("IMPORTRANGE(""https://docs.google.com/spreadsheets/d/11923uPwbBZFjjGgGUA6NLw09EwE0CqkOc4q9oUmW1yo/edit?usp=sharing"",""อุทัยธานี!M494"")"),5800)</f>
        <v>5800</v>
      </c>
      <c r="O599" s="178">
        <f t="shared" ca="1" si="126"/>
        <v>67.836257309941516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IFERROR(__xludf.DUMMYFUNCTION("IMPORTRANGE(""https://docs.google.com/spreadsheets/d/11923uPwbBZFjjGgGUA6NLw09EwE0CqkOc4q9oUmW1yo/edit?usp=sharing"",""อุทัยธานี!L495"")"),0)</f>
        <v>0</v>
      </c>
      <c r="M600" s="178"/>
      <c r="N600" s="178">
        <f ca="1">IFERROR(__xludf.DUMMYFUNCTION("IMPORTRANGE(""https://docs.google.com/spreadsheets/d/11923uPwbBZFjjGgGUA6NLw09EwE0CqkOc4q9oUmW1yo/edit?usp=sharing"",""อุทัยธานี!M495"")"),0)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IFERROR(__xludf.DUMMYFUNCTION("IMPORTRANGE(""https://docs.google.com/spreadsheets/d/11923uPwbBZFjjGgGUA6NLw09EwE0CqkOc4q9oUmW1yo/edit?usp=sharing"",""อุทัยธานี!L496"")"),8550)</f>
        <v>8550</v>
      </c>
      <c r="M601" s="178"/>
      <c r="N601" s="178">
        <f ca="1">IFERROR(__xludf.DUMMYFUNCTION("IMPORTRANGE(""https://docs.google.com/spreadsheets/d/11923uPwbBZFjjGgGUA6NLw09EwE0CqkOc4q9oUmW1yo/edit?usp=sharing"",""อุทัยธานี!M496"")"),5800)</f>
        <v>5800</v>
      </c>
      <c r="O601" s="178">
        <f t="shared" ca="1" si="126"/>
        <v>67.836257309941516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IFERROR(__xludf.DUMMYFUNCTION("IMPORTRANGE(""https://docs.google.com/spreadsheets/d/11923uPwbBZFjjGgGUA6NLw09EwE0CqkOc4q9oUmW1yo/edit?usp=sharing"",""อุทัยธานี!M497"")"),0)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IFERROR(__xludf.DUMMYFUNCTION("IMPORTRANGE(""https://docs.google.com/spreadsheets/d/11923uPwbBZFjjGgGUA6NLw09EwE0CqkOc4q9oUmW1yo/edit?usp=sharing"",""อุทัยธานี!M498"")"),0)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IFERROR(__xludf.DUMMYFUNCTION("IMPORTRANGE(""https://docs.google.com/spreadsheets/d/11923uPwbBZFjjGgGUA6NLw09EwE0CqkOc4q9oUmW1yo/edit?usp=sharing"",""อุทัยธานี!M499"")"),0)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IFERROR(__xludf.DUMMYFUNCTION("IMPORTRANGE(""https://docs.google.com/spreadsheets/d/11923uPwbBZFjjGgGUA6NLw09EwE0CqkOc4q9oUmW1yo/edit?usp=sharing"",""อุทัยธานี!M500"")"),5800)</f>
        <v>5800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IFERROR(__xludf.DUMMYFUNCTION("IMPORTRANGE(""https://docs.google.com/spreadsheets/d/11923uPwbBZFjjGgGUA6NLw09EwE0CqkOc4q9oUmW1yo/edit?usp=sharing"",""อุทัยธานี!J502"")"),0)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IFERROR(__xludf.DUMMYFUNCTION("IMPORTRANGE(""https://docs.google.com/spreadsheets/d/11923uPwbBZFjjGgGUA6NLw09EwE0CqkOc4q9oUmW1yo/edit?usp=sharing"",""อุทัยธานี!J503"")"),1)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IFERROR(__xludf.DUMMYFUNCTION("IMPORTRANGE(""https://docs.google.com/spreadsheets/d/11923uPwbBZFjjGgGUA6NLw09EwE0CqkOc4q9oUmW1yo/edit?usp=sharing"",""อุทัยธานี!J166"")"),0)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IFERROR(__xludf.DUMMYFUNCTION("IMPORTRANGE(""https://docs.google.com/spreadsheets/d/11923uPwbBZFjjGgGUA6NLw09EwE0CqkOc4q9oUmW1yo/edit?usp=sharing"",""อุทัยธานี!J166"")"),0)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IFERROR(__xludf.DUMMYFUNCTION("IMPORTRANGE(""https://docs.google.com/spreadsheets/d/11923uPwbBZFjjGgGUA6NLw09EwE0CqkOc4q9oUmW1yo/edit?usp=sharing"",""อุทัยธานี!I506"")"),50)</f>
        <v>50</v>
      </c>
      <c r="J611" s="170">
        <f ca="1">IFERROR(__xludf.DUMMYFUNCTION("IMPORTRANGE(""https://docs.google.com/spreadsheets/d/11923uPwbBZFjjGgGUA6NLw09EwE0CqkOc4q9oUmW1yo/edit?usp=sharing"",""อุทัยธานี!J506"")"),0)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IFERROR(__xludf.DUMMYFUNCTION("IMPORTRANGE(""https://docs.google.com/spreadsheets/d/11923uPwbBZFjjGgGUA6NLw09EwE0CqkOc4q9oUmW1yo/edit?usp=sharing"",""อุทัยธานี!I507"")"),0)</f>
        <v>0</v>
      </c>
      <c r="J612" s="207">
        <f ca="1">IFERROR(__xludf.DUMMYFUNCTION("IMPORTRANGE(""https://docs.google.com/spreadsheets/d/11923uPwbBZFjjGgGUA6NLw09EwE0CqkOc4q9oUmW1yo/edit?usp=sharing"",""อุทัยธานี!J507"")"),0)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IFERROR(__xludf.DUMMYFUNCTION("IMPORTRANGE(""https://docs.google.com/spreadsheets/d/11923uPwbBZFjjGgGUA6NLw09EwE0CqkOc4q9oUmW1yo/edit?usp=sharing"",""อุทัยธานี!I508"")"),0)</f>
        <v>0</v>
      </c>
      <c r="J613" s="207">
        <f ca="1">IFERROR(__xludf.DUMMYFUNCTION("IMPORTRANGE(""https://docs.google.com/spreadsheets/d/11923uPwbBZFjjGgGUA6NLw09EwE0CqkOc4q9oUmW1yo/edit?usp=sharing"",""อุทัยธานี!J508"")"),0)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IFERROR(__xludf.DUMMYFUNCTION("IMPORTRANGE(""https://docs.google.com/spreadsheets/d/11923uPwbBZFjjGgGUA6NLw09EwE0CqkOc4q9oUmW1yo/edit?usp=sharing"",""อุทัยธานี!I509"")"),0)</f>
        <v>0</v>
      </c>
      <c r="J614" s="207">
        <f ca="1">IFERROR(__xludf.DUMMYFUNCTION("IMPORTRANGE(""https://docs.google.com/spreadsheets/d/11923uPwbBZFjjGgGUA6NLw09EwE0CqkOc4q9oUmW1yo/edit?usp=sharing"",""อุทัยธานี!J509"")"),0)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IFERROR(__xludf.DUMMYFUNCTION("IMPORTRANGE(""https://docs.google.com/spreadsheets/d/11923uPwbBZFjjGgGUA6NLw09EwE0CqkOc4q9oUmW1yo/edit?usp=sharing"",""อุทัยธานี!I510"")"),0)</f>
        <v>0</v>
      </c>
      <c r="J615" s="207">
        <f ca="1">IFERROR(__xludf.DUMMYFUNCTION("IMPORTRANGE(""https://docs.google.com/spreadsheets/d/11923uPwbBZFjjGgGUA6NLw09EwE0CqkOc4q9oUmW1yo/edit?usp=sharing"",""อุทัยธานี!J510"")"),0)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IFERROR(__xludf.DUMMYFUNCTION("IMPORTRANGE(""https://docs.google.com/spreadsheets/d/11923uPwbBZFjjGgGUA6NLw09EwE0CqkOc4q9oUmW1yo/edit?usp=sharing"",""อุทัยธานี!I511"")"),0)</f>
        <v>0</v>
      </c>
      <c r="J616" s="207">
        <f ca="1">IFERROR(__xludf.DUMMYFUNCTION("IMPORTRANGE(""https://docs.google.com/spreadsheets/d/11923uPwbBZFjjGgGUA6NLw09EwE0CqkOc4q9oUmW1yo/edit?usp=sharing"",""อุทัยธานี!J511"")"),0)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IFERROR(__xludf.DUMMYFUNCTION("IMPORTRANGE(""https://docs.google.com/spreadsheets/d/11923uPwbBZFjjGgGUA6NLw09EwE0CqkOc4q9oUmW1yo/edit?usp=sharing"",""อุทัยธานี!I512"")"),0)</f>
        <v>0</v>
      </c>
      <c r="J617" s="197">
        <f ca="1">IFERROR(__xludf.DUMMYFUNCTION("IMPORTRANGE(""https://docs.google.com/spreadsheets/d/11923uPwbBZFjjGgGUA6NLw09EwE0CqkOc4q9oUmW1yo/edit?usp=sharing"",""อุทัยธานี!J512"")"),0)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IFERROR(__xludf.DUMMYFUNCTION("IMPORTRANGE(""https://docs.google.com/spreadsheets/d/11923uPwbBZFjjGgGUA6NLw09EwE0CqkOc4q9oUmW1yo/edit?usp=sharing"",""อุทัยธานี!I513"")"),0)</f>
        <v>0</v>
      </c>
      <c r="J618" s="198">
        <f ca="1">IFERROR(__xludf.DUMMYFUNCTION("IMPORTRANGE(""https://docs.google.com/spreadsheets/d/11923uPwbBZFjjGgGUA6NLw09EwE0CqkOc4q9oUmW1yo/edit?usp=sharing"",""อุทัยธานี!J513"")"),0)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IFERROR(__xludf.DUMMYFUNCTION("IMPORTRANGE(""https://docs.google.com/spreadsheets/d/11923uPwbBZFjjGgGUA6NLw09EwE0CqkOc4q9oUmW1yo/edit?usp=sharing"",""อุทัยธานี!I514"")"),0)</f>
        <v>0</v>
      </c>
      <c r="J619" s="198">
        <f ca="1">IFERROR(__xludf.DUMMYFUNCTION("IMPORTRANGE(""https://docs.google.com/spreadsheets/d/11923uPwbBZFjjGgGUA6NLw09EwE0CqkOc4q9oUmW1yo/edit?usp=sharing"",""อุทัยธานี!J514"")"),0)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IFERROR(__xludf.DUMMYFUNCTION("IMPORTRANGE(""https://docs.google.com/spreadsheets/d/11923uPwbBZFjjGgGUA6NLw09EwE0CqkOc4q9oUmW1yo/edit?usp=sharing"",""อุทัยธานี!I515"")"),0)</f>
        <v>0</v>
      </c>
      <c r="J620" s="212">
        <f ca="1">IFERROR(__xludf.DUMMYFUNCTION("IMPORTRANGE(""https://docs.google.com/spreadsheets/d/11923uPwbBZFjjGgGUA6NLw09EwE0CqkOc4q9oUmW1yo/edit?usp=sharing"",""อุทัยธานี!J515"")"),0)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IFERROR(__xludf.DUMMYFUNCTION("IMPORTRANGE(""https://docs.google.com/spreadsheets/d/11923uPwbBZFjjGgGUA6NLw09EwE0CqkOc4q9oUmW1yo/edit?usp=sharing"",""อุทัยธานี!I516"")"),0)</f>
        <v>0</v>
      </c>
      <c r="J621" s="212">
        <f ca="1">IFERROR(__xludf.DUMMYFUNCTION("IMPORTRANGE(""https://docs.google.com/spreadsheets/d/11923uPwbBZFjjGgGUA6NLw09EwE0CqkOc4q9oUmW1yo/edit?usp=sharing"",""อุทัยธานี!J516"")"),0)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IFERROR(__xludf.DUMMYFUNCTION("IMPORTRANGE(""https://docs.google.com/spreadsheets/d/11923uPwbBZFjjGgGUA6NLw09EwE0CqkOc4q9oUmW1yo/edit?usp=sharing"",""อุทัยธานี!I517"")"),0)</f>
        <v>0</v>
      </c>
      <c r="J622" s="198">
        <f ca="1">IFERROR(__xludf.DUMMYFUNCTION("IMPORTRANGE(""https://docs.google.com/spreadsheets/d/11923uPwbBZFjjGgGUA6NLw09EwE0CqkOc4q9oUmW1yo/edit?usp=sharing"",""อุทัยธานี!J517"")"),0)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IFERROR(__xludf.DUMMYFUNCTION("IMPORTRANGE(""https://docs.google.com/spreadsheets/d/11923uPwbBZFjjGgGUA6NLw09EwE0CqkOc4q9oUmW1yo/edit?usp=sharing"",""อุทัยธานี!I518"")"),0)</f>
        <v>0</v>
      </c>
      <c r="J623" s="198">
        <f ca="1">IFERROR(__xludf.DUMMYFUNCTION("IMPORTRANGE(""https://docs.google.com/spreadsheets/d/11923uPwbBZFjjGgGUA6NLw09EwE0CqkOc4q9oUmW1yo/edit?usp=sharing"",""อุทัยธานี!J518"")"),0)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IFERROR(__xludf.DUMMYFUNCTION("IMPORTRANGE(""https://docs.google.com/spreadsheets/d/11923uPwbBZFjjGgGUA6NLw09EwE0CqkOc4q9oUmW1yo/edit?usp=sharing"",""อุทัยธานี!I519"")"),0)</f>
        <v>0</v>
      </c>
      <c r="J624" s="197">
        <f ca="1">IFERROR(__xludf.DUMMYFUNCTION("IMPORTRANGE(""https://docs.google.com/spreadsheets/d/11923uPwbBZFjjGgGUA6NLw09EwE0CqkOc4q9oUmW1yo/edit?usp=sharing"",""อุทัยธานี!J519"")"),0)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IFERROR(__xludf.DUMMYFUNCTION("IMPORTRANGE(""https://docs.google.com/spreadsheets/d/11923uPwbBZFjjGgGUA6NLw09EwE0CqkOc4q9oUmW1yo/edit?usp=sharing"",""อุทัยธานี!I520"")"),0)</f>
        <v>0</v>
      </c>
      <c r="J625" s="198">
        <f ca="1">IFERROR(__xludf.DUMMYFUNCTION("IMPORTRANGE(""https://docs.google.com/spreadsheets/d/11923uPwbBZFjjGgGUA6NLw09EwE0CqkOc4q9oUmW1yo/edit?usp=sharing"",""อุทัยธานี!J520"")"),0)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IFERROR(__xludf.DUMMYFUNCTION("IMPORTRANGE(""https://docs.google.com/spreadsheets/d/11923uPwbBZFjjGgGUA6NLw09EwE0CqkOc4q9oUmW1yo/edit?usp=sharing"",""อุทัยธานี!I521"")"),0)</f>
        <v>0</v>
      </c>
      <c r="J626" s="198">
        <f ca="1">IFERROR(__xludf.DUMMYFUNCTION("IMPORTRANGE(""https://docs.google.com/spreadsheets/d/11923uPwbBZFjjGgGUA6NLw09EwE0CqkOc4q9oUmW1yo/edit?usp=sharing"",""อุทัยธานี!J521"")"),0)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IFERROR(__xludf.DUMMYFUNCTION("IMPORTRANGE(""https://docs.google.com/spreadsheets/d/11923uPwbBZFjjGgGUA6NLw09EwE0CqkOc4q9oUmW1yo/edit?usp=sharing"",""อุทัยธานี!I523"")"),1955020.27)</f>
        <v>1955020.27</v>
      </c>
      <c r="J628" s="349">
        <f ca="1">IFERROR(__xludf.DUMMYFUNCTION("IMPORTRANGE(""https://docs.google.com/spreadsheets/d/11923uPwbBZFjjGgGUA6NLw09EwE0CqkOc4q9oUmW1yo/edit?usp=sharing"",""อุทัยธานี!J523"")"),90500)</f>
        <v>90500</v>
      </c>
      <c r="K628" s="350">
        <f t="shared" ref="K628:K635" ca="1" si="129">IF(I628&gt;0,J628*100/I628,0)</f>
        <v>4.629108014312302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IFERROR(__xludf.DUMMYFUNCTION("IMPORTRANGE(""https://docs.google.com/spreadsheets/d/11923uPwbBZFjjGgGUA6NLw09EwE0CqkOc4q9oUmW1yo/edit?usp=sharing"",""อุทัยธานี!I524"")"),111)</f>
        <v>111</v>
      </c>
      <c r="J629" s="349">
        <f ca="1">IFERROR(__xludf.DUMMYFUNCTION("IMPORTRANGE(""https://docs.google.com/spreadsheets/d/11923uPwbBZFjjGgGUA6NLw09EwE0CqkOc4q9oUmW1yo/edit?usp=sharing"",""อุทัยธานี!J524"")"),11)</f>
        <v>11</v>
      </c>
      <c r="K629" s="350">
        <f t="shared" ca="1" si="129"/>
        <v>9.9099099099099099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49">
        <f ca="1">IFERROR(__xludf.DUMMYFUNCTION("IMPORTRANGE(""https://docs.google.com/spreadsheets/d/11923uPwbBZFjjGgGUA6NLw09EwE0CqkOc4q9oUmW1yo/edit?usp=sharing"",""อุทัยธานี!J525"")"),443482.72)</f>
        <v>443482.72</v>
      </c>
      <c r="K630" s="350">
        <f t="shared" ca="1" si="129"/>
        <v>3.6068854158171142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IFERROR(__xludf.DUMMYFUNCTION("IMPORTRANGE(""https://docs.google.com/spreadsheets/d/11923uPwbBZFjjGgGUA6NLw09EwE0CqkOc4q9oUmW1yo/edit?usp=sharing"",""อุทัยธานี!I526"")"),678)</f>
        <v>678</v>
      </c>
      <c r="J631" s="349">
        <f ca="1">IFERROR(__xludf.DUMMYFUNCTION("IMPORTRANGE(""https://docs.google.com/spreadsheets/d/11923uPwbBZFjjGgGUA6NLw09EwE0CqkOc4q9oUmW1yo/edit?usp=sharing"",""อุทัยธานี!J526"")"),80)</f>
        <v>80</v>
      </c>
      <c r="K631" s="350">
        <f t="shared" ca="1" si="129"/>
        <v>11.799410029498524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49">
        <f ca="1">IFERROR(__xludf.DUMMYFUNCTION("IMPORTRANGE(""https://docs.google.com/spreadsheets/d/11923uPwbBZFjjGgGUA6NLw09EwE0CqkOc4q9oUmW1yo/edit?usp=sharing"",""อุทัยธานี!J527"")"),658870.3)</f>
        <v>658870.30000000005</v>
      </c>
      <c r="K632" s="350">
        <f t="shared" ca="1" si="129"/>
        <v>16.549657108376415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IFERROR(__xludf.DUMMYFUNCTION("IMPORTRANGE(""https://docs.google.com/spreadsheets/d/11923uPwbBZFjjGgGUA6NLw09EwE0CqkOc4q9oUmW1yo/edit?usp=sharing"",""อุทัยธานี!I528"")"),248)</f>
        <v>248</v>
      </c>
      <c r="J633" s="349">
        <f ca="1">IFERROR(__xludf.DUMMYFUNCTION("IMPORTRANGE(""https://docs.google.com/spreadsheets/d/11923uPwbBZFjjGgGUA6NLw09EwE0CqkOc4q9oUmW1yo/edit?usp=sharing"",""อุทัยธานี!J528"")"),58)</f>
        <v>58</v>
      </c>
      <c r="K633" s="350">
        <f t="shared" ca="1" si="129"/>
        <v>23.387096774193548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IFERROR(__xludf.DUMMYFUNCTION("IMPORTRANGE(""https://docs.google.com/spreadsheets/d/11923uPwbBZFjjGgGUA6NLw09EwE0CqkOc4q9oUmW1yo/edit?usp=sharing"",""อุทัยธานี!I529"")"),1000000)</f>
        <v>1000000</v>
      </c>
      <c r="J634" s="349">
        <f ca="1">IFERROR(__xludf.DUMMYFUNCTION("IMPORTRANGE(""https://docs.google.com/spreadsheets/d/11923uPwbBZFjjGgGUA6NLw09EwE0CqkOc4q9oUmW1yo/edit?usp=sharing"",""อุทัยธานี!J529"")"),0)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IFERROR(__xludf.DUMMYFUNCTION("IMPORTRANGE(""https://docs.google.com/spreadsheets/d/11923uPwbBZFjjGgGUA6NLw09EwE0CqkOc4q9oUmW1yo/edit?usp=sharing"",""อุทัยธานี!I530"")"),50)</f>
        <v>50</v>
      </c>
      <c r="J635" s="519">
        <f ca="1">IFERROR(__xludf.DUMMYFUNCTION("IMPORTRANGE(""https://docs.google.com/spreadsheets/d/11923uPwbBZFjjGgGUA6NLw09EwE0CqkOc4q9oUmW1yo/edit?usp=sharing"",""อุทัยธานี!J530"")"),0)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pane="bottomLeft" activeCell="M563" sqref="M563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33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238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7289031</v>
      </c>
      <c r="M8" s="25">
        <f t="shared" ca="1" si="0"/>
        <v>2269425</v>
      </c>
      <c r="N8" s="25">
        <f t="shared" ca="1" si="0"/>
        <v>1644239.67</v>
      </c>
      <c r="O8" s="24">
        <f t="shared" ref="O8:O16" ca="1" si="1">IF(L8&gt;0,N8*100/L8,0)</f>
        <v>22.557726397377099</v>
      </c>
      <c r="P8" s="24">
        <f t="shared" ref="P8:P16" ca="1" si="2">IF(M8&gt;0,N8*100/M8,0)</f>
        <v>72.451817971512611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7289031</v>
      </c>
      <c r="M10" s="32">
        <f t="shared" ca="1" si="4"/>
        <v>2269425</v>
      </c>
      <c r="N10" s="32">
        <f t="shared" ca="1" si="4"/>
        <v>1644239.67</v>
      </c>
      <c r="O10" s="31">
        <f t="shared" ca="1" si="1"/>
        <v>22.557726397377099</v>
      </c>
      <c r="P10" s="31">
        <f t="shared" ca="1" si="2"/>
        <v>72.451817971512611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7289031</v>
      </c>
      <c r="M12" s="40">
        <f t="shared" ca="1" si="6"/>
        <v>2269425</v>
      </c>
      <c r="N12" s="40">
        <f t="shared" ca="1" si="6"/>
        <v>1644239.67</v>
      </c>
      <c r="O12" s="40">
        <f t="shared" ca="1" si="1"/>
        <v>22.557726397377099</v>
      </c>
      <c r="P12" s="40">
        <f t="shared" ca="1" si="2"/>
        <v>72.451817971512611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2181000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5108031</v>
      </c>
      <c r="M14" s="40">
        <f t="shared" si="8"/>
        <v>0</v>
      </c>
      <c r="N14" s="40">
        <f t="shared" ca="1" si="8"/>
        <v>285393.67</v>
      </c>
      <c r="O14" s="43">
        <f t="shared" ca="1" si="1"/>
        <v>5.5871561860137495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0</v>
      </c>
      <c r="M16" s="40">
        <f t="shared" si="10"/>
        <v>0</v>
      </c>
      <c r="N16" s="40">
        <f t="shared" ca="1" si="10"/>
        <v>0</v>
      </c>
      <c r="O16" s="52">
        <f t="shared" ca="1" si="1"/>
        <v>0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3957295</v>
      </c>
      <c r="M18" s="25">
        <f t="shared" ca="1" si="11"/>
        <v>2269425</v>
      </c>
      <c r="N18" s="25">
        <f t="shared" ca="1" si="11"/>
        <v>1358846</v>
      </c>
      <c r="O18" s="24">
        <f t="shared" ref="O18:O20" ca="1" si="12">IF(L18&gt;0,N18*100/L18,0)</f>
        <v>34.337748386208254</v>
      </c>
      <c r="P18" s="24">
        <f t="shared" ref="P18:P26" ca="1" si="13">IF(M18&gt;0,N18*100/M18,0)</f>
        <v>59.876224153695318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3957295</v>
      </c>
      <c r="M20" s="32">
        <f t="shared" ca="1" si="15"/>
        <v>2269425</v>
      </c>
      <c r="N20" s="32">
        <f t="shared" ca="1" si="15"/>
        <v>1358846</v>
      </c>
      <c r="O20" s="31">
        <f t="shared" ca="1" si="12"/>
        <v>34.337748386208254</v>
      </c>
      <c r="P20" s="31">
        <f t="shared" ca="1" si="13"/>
        <v>59.876224153695318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3957295</v>
      </c>
      <c r="M22" s="44">
        <f t="shared" ca="1" si="18"/>
        <v>2269425</v>
      </c>
      <c r="N22" s="43">
        <f t="shared" ca="1" si="18"/>
        <v>1358846</v>
      </c>
      <c r="O22" s="43">
        <f t="shared" ca="1" si="17"/>
        <v>34.337748386208254</v>
      </c>
      <c r="P22" s="43">
        <f t="shared" ca="1" si="13"/>
        <v>59.876224153695318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2181000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1776295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0</v>
      </c>
      <c r="M26" s="52">
        <f t="shared" si="22"/>
        <v>0</v>
      </c>
      <c r="N26" s="52">
        <f t="shared" ca="1" si="22"/>
        <v>0</v>
      </c>
      <c r="O26" s="52">
        <f t="shared" ca="1" si="17"/>
        <v>0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3331736</v>
      </c>
      <c r="M28" s="25">
        <f t="shared" si="23"/>
        <v>0</v>
      </c>
      <c r="N28" s="25">
        <f t="shared" ca="1" si="23"/>
        <v>285393.67</v>
      </c>
      <c r="O28" s="24">
        <f t="shared" ref="O28:O30" ca="1" si="24">IF(L28&gt;0,N28*100/L28,0)</f>
        <v>8.5659148864135695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3331736</v>
      </c>
      <c r="M30" s="32">
        <f t="shared" si="27"/>
        <v>0</v>
      </c>
      <c r="N30" s="32">
        <f t="shared" ca="1" si="27"/>
        <v>285393.67</v>
      </c>
      <c r="O30" s="31">
        <f t="shared" ca="1" si="24"/>
        <v>8.5659148864135695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3331736</v>
      </c>
      <c r="M32" s="43">
        <f t="shared" si="30"/>
        <v>0</v>
      </c>
      <c r="N32" s="43">
        <f t="shared" ca="1" si="30"/>
        <v>285393.67</v>
      </c>
      <c r="O32" s="43">
        <f t="shared" ca="1" si="29"/>
        <v>8.5659148864135695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3331736</v>
      </c>
      <c r="M34" s="43">
        <f t="shared" si="32"/>
        <v>0</v>
      </c>
      <c r="N34" s="43">
        <f t="shared" ca="1" si="32"/>
        <v>285393.67</v>
      </c>
      <c r="O34" s="43">
        <f t="shared" ca="1" si="29"/>
        <v>8.5659148864135695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3957295</v>
      </c>
      <c r="M37" s="57">
        <f t="shared" ca="1" si="33"/>
        <v>2269425</v>
      </c>
      <c r="N37" s="57">
        <f t="shared" ca="1" si="33"/>
        <v>1358846</v>
      </c>
      <c r="O37" s="58">
        <f t="shared" ca="1" si="29"/>
        <v>34.337748386208254</v>
      </c>
      <c r="P37" s="58">
        <f t="shared" ca="1" si="25"/>
        <v>59.876224153695318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840900</v>
      </c>
      <c r="M41" s="81">
        <f t="shared" ca="1" si="34"/>
        <v>420500</v>
      </c>
      <c r="N41" s="81">
        <f t="shared" ca="1" si="34"/>
        <v>318524</v>
      </c>
      <c r="O41" s="80">
        <f t="shared" ref="O41:O43" ca="1" si="35">IF(L41&gt;0,N41*100/L41,0)</f>
        <v>37.878939231775476</v>
      </c>
      <c r="P41" s="80">
        <f t="shared" ref="P41:P43" ca="1" si="36">IF(M41&gt;0,N41*100/M41,0)</f>
        <v>75.748870392390018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840900</v>
      </c>
      <c r="M43" s="81">
        <f t="shared" ca="1" si="38"/>
        <v>420500</v>
      </c>
      <c r="N43" s="81">
        <f t="shared" ca="1" si="38"/>
        <v>318524</v>
      </c>
      <c r="O43" s="80">
        <f t="shared" ca="1" si="35"/>
        <v>37.878939231775476</v>
      </c>
      <c r="P43" s="80">
        <f t="shared" ca="1" si="36"/>
        <v>75.748870392390018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840900</v>
      </c>
      <c r="M45" s="93">
        <f ca="1">IFERROR(__xludf.DUMMYFUNCTION("IMPORTRANGE(""https://docs.google.com/spreadsheets/d/1Yj_ptqi66GCucihVvJfMjLAmec39IyEx_6qawtMGysU/edit?usp=sharing"",""สบก!Q20"")"),420500)</f>
        <v>420500</v>
      </c>
      <c r="N45" s="93">
        <f ca="1">IFERROR(__xludf.DUMMYFUNCTION("IMPORTRANGE(""https://docs.google.com/spreadsheets/d/1Yj_ptqi66GCucihVvJfMjLAmec39IyEx_6qawtMGysU/edit?usp=sharing"",""สบก!R20"")"),318524)</f>
        <v>318524</v>
      </c>
      <c r="O45" s="94">
        <f ca="1">IF(L45&gt;0,N45*100/L45,0)</f>
        <v>37.878939231775476</v>
      </c>
      <c r="P45" s="94">
        <f ca="1">IF(M45&gt;0,N45*100/M45,0)</f>
        <v>75.748870392390018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IFERROR(__xludf.DUMMYFUNCTION("IMPORTRANGE(""https://docs.google.com/spreadsheets/d/1Yj_ptqi66GCucihVvJfMjLAmec39IyEx_6qawtMGysU/edit?usp=sharing"",""สบก!M20"")"),840900)</f>
        <v>840900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IFERROR(__xludf.DUMMYFUNCTION("IMPORTRANGE(""https://docs.google.com/spreadsheets/d/1Yj_ptqi66GCucihVvJfMjLAmec39IyEx_6qawtMGysU/edit?usp=sharing"",""สบก!N20"")"),0)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IFERROR(__xludf.DUMMYFUNCTION("IMPORTRANGE(""https://docs.google.com/spreadsheets/d/1Yj_ptqi66GCucihVvJfMjLAmec39IyEx_6qawtMGysU/edit?usp=sharing"",""สบก!O20"")"),0)</f>
        <v>0</v>
      </c>
      <c r="M49" s="103"/>
      <c r="N49" s="93">
        <f ca="1">IFERROR(__xludf.DUMMYFUNCTION("IMPORTRANGE(""https://docs.google.com/spreadsheets/d/1Yj_ptqi66GCucihVvJfMjLAmec39IyEx_6qawtMGysU/edit?usp=sharing"",""สบก!S20"")"),0)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469000</v>
      </c>
      <c r="M53" s="127">
        <f t="shared" ca="1" si="39"/>
        <v>247230</v>
      </c>
      <c r="N53" s="127">
        <f t="shared" ca="1" si="39"/>
        <v>147403</v>
      </c>
      <c r="O53" s="126">
        <f t="shared" ref="O53:O55" ca="1" si="40">IF(L53&gt;0,N53*100/L53,0)</f>
        <v>31.429211087420043</v>
      </c>
      <c r="P53" s="126">
        <f t="shared" ref="P53:P55" ca="1" si="41">IF(M53&gt;0,N53*100/M53,0)</f>
        <v>59.621809650932327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469000</v>
      </c>
      <c r="M55" s="127">
        <f t="shared" ca="1" si="43"/>
        <v>247230</v>
      </c>
      <c r="N55" s="127">
        <f t="shared" ca="1" si="43"/>
        <v>147403</v>
      </c>
      <c r="O55" s="126">
        <f t="shared" ca="1" si="40"/>
        <v>31.429211087420043</v>
      </c>
      <c r="P55" s="126">
        <f t="shared" ca="1" si="41"/>
        <v>59.621809650932327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469000</v>
      </c>
      <c r="M57" s="93">
        <f ca="1">IFERROR(__xludf.DUMMYFUNCTION("IMPORTRANGE(""https://docs.google.com/spreadsheets/d/1Yj_ptqi66GCucihVvJfMjLAmec39IyEx_6qawtMGysU/edit?usp=sharing"",""สบก!Z20"")"),247230)</f>
        <v>247230</v>
      </c>
      <c r="N57" s="93">
        <f ca="1">IFERROR(__xludf.DUMMYFUNCTION("IMPORTRANGE(""https://docs.google.com/spreadsheets/d/1Yj_ptqi66GCucihVvJfMjLAmec39IyEx_6qawtMGysU/edit?usp=sharing"",""สบก!AA20"")"),147403)</f>
        <v>147403</v>
      </c>
      <c r="O57" s="94">
        <f ca="1">IF(L57&gt;0,N57*100/L57,0)</f>
        <v>31.429211087420043</v>
      </c>
      <c r="P57" s="94">
        <f ca="1">IF(M57&gt;0,N57*100/M57,0)</f>
        <v>59.621809650932327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IFERROR(__xludf.DUMMYFUNCTION("IMPORTRANGE(""https://docs.google.com/spreadsheets/d/1Yj_ptqi66GCucihVvJfMjLAmec39IyEx_6qawtMGysU/edit?usp=sharing"",""สบก!V20"")"),469000)</f>
        <v>469000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IFERROR(__xludf.DUMMYFUNCTION("IMPORTRANGE(""https://docs.google.com/spreadsheets/d/1Yj_ptqi66GCucihVvJfMjLAmec39IyEx_6qawtMGysU/edit?usp=sharing"",""สบก!W20"")"),0)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IFERROR(__xludf.DUMMYFUNCTION("IMPORTRANGE(""https://docs.google.com/spreadsheets/d/1Yj_ptqi66GCucihVvJfMjLAmec39IyEx_6qawtMGysU/edit?usp=sharing"",""สบก!X20"")"),0)</f>
        <v>0</v>
      </c>
      <c r="M61" s="103"/>
      <c r="N61" s="93">
        <f ca="1">IFERROR(__xludf.DUMMYFUNCTION("IMPORTRANGE(""https://docs.google.com/spreadsheets/d/1Yj_ptqi66GCucihVvJfMjLAmec39IyEx_6qawtMGysU/edit?usp=sharing"",""สบก!AB20"")"),0)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IFERROR(__xludf.DUMMYFUNCTION("IMPORTRANGE(""https://docs.google.com/spreadsheets/d/11923uPwbBZFjjGgGUA6NLw09EwE0CqkOc4q9oUmW1yo/edit?usp=sharing"",""กำแพงเพชร!I9"")"),0)</f>
        <v>0</v>
      </c>
      <c r="J64" s="148">
        <f ca="1">IFERROR(__xludf.DUMMYFUNCTION("IMPORTRANGE(""https://docs.google.com/spreadsheets/d/11923uPwbBZFjjGgGUA6NLw09EwE0CqkOc4q9oUmW1yo/edit?usp=sharing"",""กำแพงเพชร!J9"")"),0)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IFERROR(__xludf.DUMMYFUNCTION("IMPORTRANGE(""https://docs.google.com/spreadsheets/d/11923uPwbBZFjjGgGUA6NLw09EwE0CqkOc4q9oUmW1yo/edit?usp=sharing"",""กำแพงเพชร!I10"")"),0)</f>
        <v>0</v>
      </c>
      <c r="J65" s="148">
        <f ca="1">IFERROR(__xludf.DUMMYFUNCTION("IMPORTRANGE(""https://docs.google.com/spreadsheets/d/11923uPwbBZFjjGgGUA6NLw09EwE0CqkOc4q9oUmW1yo/edit?usp=sharing"",""กำแพงเพชร!J10"")"),0)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IFERROR(__xludf.DUMMYFUNCTION("IMPORTRANGE(""https://docs.google.com/spreadsheets/d/1Yj_ptqi66GCucihVvJfMjLAmec39IyEx_6qawtMGysU/edit?usp=sharing"",""สบก!AI20"")"),0)</f>
        <v>0</v>
      </c>
      <c r="N70" s="177">
        <f ca="1">IFERROR(__xludf.DUMMYFUNCTION("IMPORTRANGE(""https://docs.google.com/spreadsheets/d/1Yj_ptqi66GCucihVvJfMjLAmec39IyEx_6qawtMGysU/edit?usp=sharing"",""สบก!AJ20"")"),0)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IFERROR(__xludf.DUMMYFUNCTION("IMPORTRANGE(""https://docs.google.com/spreadsheets/d/1Yj_ptqi66GCucihVvJfMjLAmec39IyEx_6qawtMGysU/edit?usp=sharing"",""สบก!AE20"")"),0)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IFERROR(__xludf.DUMMYFUNCTION("IMPORTRANGE(""https://docs.google.com/spreadsheets/d/1Yj_ptqi66GCucihVvJfMjLAmec39IyEx_6qawtMGysU/edit?usp=sharing"",""สบก!AF20"")"),0)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IFERROR(__xludf.DUMMYFUNCTION("IMPORTRANGE(""https://docs.google.com/spreadsheets/d/1Yj_ptqi66GCucihVvJfMjLAmec39IyEx_6qawtMGysU/edit?usp=sharing"",""สบก!AG20"")"),0)</f>
        <v>0</v>
      </c>
      <c r="M74" s="103"/>
      <c r="N74" s="93">
        <f ca="1">IFERROR(__xludf.DUMMYFUNCTION("IMPORTRANGE(""https://docs.google.com/spreadsheets/d/1Yj_ptqi66GCucihVvJfMjLAmec39IyEx_6qawtMGysU/edit?usp=sharing"",""สบก!AK20"")"),0)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IFERROR(__xludf.DUMMYFUNCTION("IMPORTRANGE(""https://docs.google.com/spreadsheets/d/11923uPwbBZFjjGgGUA6NLw09EwE0CqkOc4q9oUmW1yo/edit?usp=sharing"",""กำแพงเพชร!J16"")"),0)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IFERROR(__xludf.DUMMYFUNCTION("IMPORTRANGE(""https://docs.google.com/spreadsheets/d/11923uPwbBZFjjGgGUA6NLw09EwE0CqkOc4q9oUmW1yo/edit?usp=sharing"",""กำแพงเพชร!J17"")"),0)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IFERROR(__xludf.DUMMYFUNCTION("IMPORTRANGE(""https://docs.google.com/spreadsheets/d/11923uPwbBZFjjGgGUA6NLw09EwE0CqkOc4q9oUmW1yo/edit?usp=sharing"",""กำแพงเพชร!J18"")"),0)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IFERROR(__xludf.DUMMYFUNCTION("IMPORTRANGE(""https://docs.google.com/spreadsheets/d/11923uPwbBZFjjGgGUA6NLw09EwE0CqkOc4q9oUmW1yo/edit?usp=sharing"",""กำแพงเพชร!J19"")"),0)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IFERROR(__xludf.DUMMYFUNCTION("IMPORTRANGE(""https://docs.google.com/spreadsheets/d/11923uPwbBZFjjGgGUA6NLw09EwE0CqkOc4q9oUmW1yo/edit?usp=sharing"",""กำแพงเพชร!I20"")"),0)</f>
        <v>0</v>
      </c>
      <c r="J80" s="210">
        <f ca="1">IFERROR(__xludf.DUMMYFUNCTION("IMPORTRANGE(""https://docs.google.com/spreadsheets/d/11923uPwbBZFjjGgGUA6NLw09EwE0CqkOc4q9oUmW1yo/edit?usp=sharing"",""กำแพงเพชร!J20"")"),0)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IFERROR(__xludf.DUMMYFUNCTION("IMPORTRANGE(""https://docs.google.com/spreadsheets/d/11923uPwbBZFjjGgGUA6NLw09EwE0CqkOc4q9oUmW1yo/edit?usp=sharing"",""กำแพงเพชร!I21"")"),0)</f>
        <v>0</v>
      </c>
      <c r="J81" s="210">
        <f ca="1">IFERROR(__xludf.DUMMYFUNCTION("IMPORTRANGE(""https://docs.google.com/spreadsheets/d/11923uPwbBZFjjGgGUA6NLw09EwE0CqkOc4q9oUmW1yo/edit?usp=sharing"",""กำแพงเพชร!J21"")"),0)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IFERROR(__xludf.DUMMYFUNCTION("IMPORTRANGE(""https://docs.google.com/spreadsheets/d/11923uPwbBZFjjGgGUA6NLw09EwE0CqkOc4q9oUmW1yo/edit?usp=sharing"",""กำแพงเพชร!I22"")"),0)</f>
        <v>0</v>
      </c>
      <c r="J82" s="213">
        <f ca="1">IFERROR(__xludf.DUMMYFUNCTION("IMPORTRANGE(""https://docs.google.com/spreadsheets/d/11923uPwbBZFjjGgGUA6NLw09EwE0CqkOc4q9oUmW1yo/edit?usp=sharing"",""กำแพงเพชร!J22"")"),0)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IFERROR(__xludf.DUMMYFUNCTION("IMPORTRANGE(""https://docs.google.com/spreadsheets/d/11923uPwbBZFjjGgGUA6NLw09EwE0CqkOc4q9oUmW1yo/edit?usp=sharing"",""กำแพงเพชร!I23"")"),0)</f>
        <v>0</v>
      </c>
      <c r="J83" s="213">
        <f ca="1">IFERROR(__xludf.DUMMYFUNCTION("IMPORTRANGE(""https://docs.google.com/spreadsheets/d/11923uPwbBZFjjGgGUA6NLw09EwE0CqkOc4q9oUmW1yo/edit?usp=sharing"",""กำแพงเพชร!J23"")"),0)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IFERROR(__xludf.DUMMYFUNCTION("IMPORTRANGE(""https://docs.google.com/spreadsheets/d/11923uPwbBZFjjGgGUA6NLw09EwE0CqkOc4q9oUmW1yo/edit?usp=sharing"",""กำแพงเพชร!I24"")"),0)</f>
        <v>0</v>
      </c>
      <c r="J84" s="198">
        <f ca="1">IFERROR(__xludf.DUMMYFUNCTION("IMPORTRANGE(""https://docs.google.com/spreadsheets/d/11923uPwbBZFjjGgGUA6NLw09EwE0CqkOc4q9oUmW1yo/edit?usp=sharing"",""กำแพงเพชร!J24"")"),0)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IFERROR(__xludf.DUMMYFUNCTION("IMPORTRANGE(""https://docs.google.com/spreadsheets/d/11923uPwbBZFjjGgGUA6NLw09EwE0CqkOc4q9oUmW1yo/edit?usp=sharing"",""กำแพงเพชร!I25"")"),0)</f>
        <v>0</v>
      </c>
      <c r="J85" s="198">
        <f ca="1">IFERROR(__xludf.DUMMYFUNCTION("IMPORTRANGE(""https://docs.google.com/spreadsheets/d/11923uPwbBZFjjGgGUA6NLw09EwE0CqkOc4q9oUmW1yo/edit?usp=sharing"",""กำแพงเพชร!J25"")"),0)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IFERROR(__xludf.DUMMYFUNCTION("IMPORTRANGE(""https://docs.google.com/spreadsheets/d/11923uPwbBZFjjGgGUA6NLw09EwE0CqkOc4q9oUmW1yo/edit?usp=sharing"",""กำแพงเพชร!I26"")"),0)</f>
        <v>0</v>
      </c>
      <c r="J86" s="213">
        <f ca="1">IFERROR(__xludf.DUMMYFUNCTION("IMPORTRANGE(""https://docs.google.com/spreadsheets/d/11923uPwbBZFjjGgGUA6NLw09EwE0CqkOc4q9oUmW1yo/edit?usp=sharing"",""กำแพงเพชร!J26"")"),0)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IFERROR(__xludf.DUMMYFUNCTION("IMPORTRANGE(""https://docs.google.com/spreadsheets/d/11923uPwbBZFjjGgGUA6NLw09EwE0CqkOc4q9oUmW1yo/edit?usp=sharing"",""กำแพงเพชร!I27"")"),0)</f>
        <v>0</v>
      </c>
      <c r="J87" s="213">
        <f ca="1">IFERROR(__xludf.DUMMYFUNCTION("IMPORTRANGE(""https://docs.google.com/spreadsheets/d/11923uPwbBZFjjGgGUA6NLw09EwE0CqkOc4q9oUmW1yo/edit?usp=sharing"",""กำแพงเพชร!J27"")"),0)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IFERROR(__xludf.DUMMYFUNCTION("IMPORTRANGE(""https://docs.google.com/spreadsheets/d/11923uPwbBZFjjGgGUA6NLw09EwE0CqkOc4q9oUmW1yo/edit?usp=sharing"",""กำแพงเพชร!I28"")"),0)</f>
        <v>0</v>
      </c>
      <c r="J88" s="213">
        <f ca="1">IFERROR(__xludf.DUMMYFUNCTION("IMPORTRANGE(""https://docs.google.com/spreadsheets/d/11923uPwbBZFjjGgGUA6NLw09EwE0CqkOc4q9oUmW1yo/edit?usp=sharing"",""กำแพงเพชร!J28"")"),0)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IFERROR(__xludf.DUMMYFUNCTION("IMPORTRANGE(""https://docs.google.com/spreadsheets/d/11923uPwbBZFjjGgGUA6NLw09EwE0CqkOc4q9oUmW1yo/edit?usp=sharing"",""กำแพงเพชร!J29"")"),0)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IFERROR(__xludf.DUMMYFUNCTION("IMPORTRANGE(""https://docs.google.com/spreadsheets/d/11923uPwbBZFjjGgGUA6NLw09EwE0CqkOc4q9oUmW1yo/edit?usp=sharing"",""กำแพงเพชร!J30"")"),0)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IFERROR(__xludf.DUMMYFUNCTION("IMPORTRANGE(""https://docs.google.com/spreadsheets/d/11923uPwbBZFjjGgGUA6NLw09EwE0CqkOc4q9oUmW1yo/edit?usp=sharing"",""กำแพงเพชร!I32"")"),0)</f>
        <v>0</v>
      </c>
      <c r="J92" s="148">
        <f ca="1">IFERROR(__xludf.DUMMYFUNCTION("IMPORTRANGE(""https://docs.google.com/spreadsheets/d/11923uPwbBZFjjGgGUA6NLw09EwE0CqkOc4q9oUmW1yo/edit?usp=sharing"",""กำแพงเพชร!J32"")"),0)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IFERROR(__xludf.DUMMYFUNCTION("IMPORTRANGE(""https://docs.google.com/spreadsheets/d/11923uPwbBZFjjGgGUA6NLw09EwE0CqkOc4q9oUmW1yo/edit?usp=sharing"",""กำแพงเพชร!I33"")"),0)</f>
        <v>0</v>
      </c>
      <c r="J93" s="148">
        <f ca="1">IFERROR(__xludf.DUMMYFUNCTION("IMPORTRANGE(""https://docs.google.com/spreadsheets/d/11923uPwbBZFjjGgGUA6NLw09EwE0CqkOc4q9oUmW1yo/edit?usp=sharing"",""กำแพงเพชร!J33"")"),0)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IFERROR(__xludf.DUMMYFUNCTION("IMPORTRANGE(""https://docs.google.com/spreadsheets/d/1Yj_ptqi66GCucihVvJfMjLAmec39IyEx_6qawtMGysU/edit?usp=sharing"",""สบก!AR20"")"),0)</f>
        <v>0</v>
      </c>
      <c r="N98" s="177">
        <f ca="1">IFERROR(__xludf.DUMMYFUNCTION("IMPORTRANGE(""https://docs.google.com/spreadsheets/d/1Yj_ptqi66GCucihVvJfMjLAmec39IyEx_6qawtMGysU/edit?usp=sharing"",""สบก!AS20"")"),0)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IFERROR(__xludf.DUMMYFUNCTION("IMPORTRANGE(""https://docs.google.com/spreadsheets/d/1Yj_ptqi66GCucihVvJfMjLAmec39IyEx_6qawtMGysU/edit?usp=sharing"",""สบก!AN20"")"),0)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IFERROR(__xludf.DUMMYFUNCTION("IMPORTRANGE(""https://docs.google.com/spreadsheets/d/1Yj_ptqi66GCucihVvJfMjLAmec39IyEx_6qawtMGysU/edit?usp=sharing"",""สบก!AO20"")"),0)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IFERROR(__xludf.DUMMYFUNCTION("IMPORTRANGE(""https://docs.google.com/spreadsheets/d/1Yj_ptqi66GCucihVvJfMjLAmec39IyEx_6qawtMGysU/edit?usp=sharing"",""สบก!AP20"")"),0)</f>
        <v>0</v>
      </c>
      <c r="M102" s="103"/>
      <c r="N102" s="93">
        <f ca="1">IFERROR(__xludf.DUMMYFUNCTION("IMPORTRANGE(""https://docs.google.com/spreadsheets/d/1Yj_ptqi66GCucihVvJfMjLAmec39IyEx_6qawtMGysU/edit?usp=sharing"",""สบก!AT20"")"),0)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IFERROR(__xludf.DUMMYFUNCTION("IMPORTRANGE(""https://docs.google.com/spreadsheets/d/11923uPwbBZFjjGgGUA6NLw09EwE0CqkOc4q9oUmW1yo/edit?usp=sharing"",""กำแพงเพชร!J39"")"),0)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IFERROR(__xludf.DUMMYFUNCTION("IMPORTRANGE(""https://docs.google.com/spreadsheets/d/11923uPwbBZFjjGgGUA6NLw09EwE0CqkOc4q9oUmW1yo/edit?usp=sharing"",""กำแพงเพชร!J40"")"),0)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IFERROR(__xludf.DUMMYFUNCTION("IMPORTRANGE(""https://docs.google.com/spreadsheets/d/11923uPwbBZFjjGgGUA6NLw09EwE0CqkOc4q9oUmW1yo/edit?usp=sharing"",""กำแพงเพชร!J41"")"),0)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IFERROR(__xludf.DUMMYFUNCTION("IMPORTRANGE(""https://docs.google.com/spreadsheets/d/11923uPwbBZFjjGgGUA6NLw09EwE0CqkOc4q9oUmW1yo/edit?usp=sharing"",""กำแพงเพชร!J42"")"),0)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IFERROR(__xludf.DUMMYFUNCTION("IMPORTRANGE(""https://docs.google.com/spreadsheets/d/11923uPwbBZFjjGgGUA6NLw09EwE0CqkOc4q9oUmW1yo/edit?usp=sharing"",""กำแพงเพชร!I43"")"),0)</f>
        <v>0</v>
      </c>
      <c r="J108" s="213">
        <f ca="1">IFERROR(__xludf.DUMMYFUNCTION("IMPORTRANGE(""https://docs.google.com/spreadsheets/d/11923uPwbBZFjjGgGUA6NLw09EwE0CqkOc4q9oUmW1yo/edit?usp=sharing"",""กำแพงเพชร!J43"")"),0)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IFERROR(__xludf.DUMMYFUNCTION("IMPORTRANGE(""https://docs.google.com/spreadsheets/d/11923uPwbBZFjjGgGUA6NLw09EwE0CqkOc4q9oUmW1yo/edit?usp=sharing"",""กำแพงเพชร!I44"")"),0)</f>
        <v>0</v>
      </c>
      <c r="J109" s="213">
        <f ca="1">IFERROR(__xludf.DUMMYFUNCTION("IMPORTRANGE(""https://docs.google.com/spreadsheets/d/11923uPwbBZFjjGgGUA6NLw09EwE0CqkOc4q9oUmW1yo/edit?usp=sharing"",""กำแพงเพชร!J44"")"),0)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IFERROR(__xludf.DUMMYFUNCTION("IMPORTRANGE(""https://docs.google.com/spreadsheets/d/11923uPwbBZFjjGgGUA6NLw09EwE0CqkOc4q9oUmW1yo/edit?usp=sharing"",""กำแพงเพชร!I45"")"),0)</f>
        <v>0</v>
      </c>
      <c r="J110" s="213">
        <f ca="1">IFERROR(__xludf.DUMMYFUNCTION("IMPORTRANGE(""https://docs.google.com/spreadsheets/d/11923uPwbBZFjjGgGUA6NLw09EwE0CqkOc4q9oUmW1yo/edit?usp=sharing"",""กำแพงเพชร!J45"")"),0)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IFERROR(__xludf.DUMMYFUNCTION("IMPORTRANGE(""https://docs.google.com/spreadsheets/d/11923uPwbBZFjjGgGUA6NLw09EwE0CqkOc4q9oUmW1yo/edit?usp=sharing"",""กำแพงเพชร!I46"")"),0)</f>
        <v>0</v>
      </c>
      <c r="J111" s="213">
        <f ca="1">IFERROR(__xludf.DUMMYFUNCTION("IMPORTRANGE(""https://docs.google.com/spreadsheets/d/11923uPwbBZFjjGgGUA6NLw09EwE0CqkOc4q9oUmW1yo/edit?usp=sharing"",""กำแพงเพชร!J46"")"),0)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IFERROR(__xludf.DUMMYFUNCTION("IMPORTRANGE(""https://docs.google.com/spreadsheets/d/11923uPwbBZFjjGgGUA6NLw09EwE0CqkOc4q9oUmW1yo/edit?usp=sharing"",""กำแพงเพชร!I47"")"),0)</f>
        <v>0</v>
      </c>
      <c r="J112" s="213">
        <f ca="1">IFERROR(__xludf.DUMMYFUNCTION("IMPORTRANGE(""https://docs.google.com/spreadsheets/d/11923uPwbBZFjjGgGUA6NLw09EwE0CqkOc4q9oUmW1yo/edit?usp=sharing"",""กำแพงเพชร!J47"")"),0)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IFERROR(__xludf.DUMMYFUNCTION("IMPORTRANGE(""https://docs.google.com/spreadsheets/d/11923uPwbBZFjjGgGUA6NLw09EwE0CqkOc4q9oUmW1yo/edit?usp=sharing"",""กำแพงเพชร!I48"")"),0)</f>
        <v>0</v>
      </c>
      <c r="J113" s="213">
        <f ca="1">IFERROR(__xludf.DUMMYFUNCTION("IMPORTRANGE(""https://docs.google.com/spreadsheets/d/11923uPwbBZFjjGgGUA6NLw09EwE0CqkOc4q9oUmW1yo/edit?usp=sharing"",""กำแพงเพชร!J48"")"),0)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IFERROR(__xludf.DUMMYFUNCTION("IMPORTRANGE(""https://docs.google.com/spreadsheets/d/11923uPwbBZFjjGgGUA6NLw09EwE0CqkOc4q9oUmW1yo/edit?usp=sharing"",""กำแพงเพชร!J49"")"),0)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IFERROR(__xludf.DUMMYFUNCTION("IMPORTRANGE(""https://docs.google.com/spreadsheets/d/11923uPwbBZFjjGgGUA6NLw09EwE0CqkOc4q9oUmW1yo/edit?usp=sharing"",""กำแพงเพชร!J50"")"),0)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IFERROR(__xludf.DUMMYFUNCTION("IMPORTRANGE(""https://docs.google.com/spreadsheets/d/11923uPwbBZFjjGgGUA6NLw09EwE0CqkOc4q9oUmW1yo/edit?usp=sharing"",""กำแพงเพชร!I52"")"),20)</f>
        <v>20</v>
      </c>
      <c r="J117" s="148">
        <f ca="1">IFERROR(__xludf.DUMMYFUNCTION("IMPORTRANGE(""https://docs.google.com/spreadsheets/d/11923uPwbBZFjjGgGUA6NLw09EwE0CqkOc4q9oUmW1yo/edit?usp=sharing"",""กำแพงเพชร!J52"")"),20)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66080</v>
      </c>
      <c r="O118" s="157">
        <f t="shared" ref="O118:O120" ca="1" si="59">IF(L118&gt;0,N118*100/L118,0)</f>
        <v>80.155264434740417</v>
      </c>
      <c r="P118" s="157">
        <f t="shared" ref="P118:P120" ca="1" si="60">IF(M118&gt;0,N118*100/M118,0)</f>
        <v>99.458157736303434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66080</v>
      </c>
      <c r="O120" s="162">
        <f t="shared" ca="1" si="59"/>
        <v>80.155264434740417</v>
      </c>
      <c r="P120" s="162">
        <f t="shared" ca="1" si="60"/>
        <v>99.458157736303434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IFERROR(__xludf.DUMMYFUNCTION("IMPORTRANGE(""https://docs.google.com/spreadsheets/d/1Yj_ptqi66GCucihVvJfMjLAmec39IyEx_6qawtMGysU/edit?usp=sharing"",""สบก!BA20"")"),66440)</f>
        <v>66440</v>
      </c>
      <c r="N122" s="177">
        <f ca="1">IFERROR(__xludf.DUMMYFUNCTION("IMPORTRANGE(""https://docs.google.com/spreadsheets/d/1Yj_ptqi66GCucihVvJfMjLAmec39IyEx_6qawtMGysU/edit?usp=sharing"",""สบก!BB20"")"),66080)</f>
        <v>66080</v>
      </c>
      <c r="O122" s="178">
        <f ca="1">IF(L122&gt;0,N122*100/L122,0)</f>
        <v>80.155264434740417</v>
      </c>
      <c r="P122" s="178">
        <f ca="1">IF(M122&gt;0,N122*100/M122,0)</f>
        <v>99.458157736303434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IFERROR(__xludf.DUMMYFUNCTION("IMPORTRANGE(""https://docs.google.com/spreadsheets/d/1Yj_ptqi66GCucihVvJfMjLAmec39IyEx_6qawtMGysU/edit?usp=sharing"",""สบก!AW20"")"),0)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IFERROR(__xludf.DUMMYFUNCTION("IMPORTRANGE(""https://docs.google.com/spreadsheets/d/1Yj_ptqi66GCucihVvJfMjLAmec39IyEx_6qawtMGysU/edit?usp=sharing"",""สบก!AX20"")"),82440)</f>
        <v>82440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IFERROR(__xludf.DUMMYFUNCTION("IMPORTRANGE(""https://docs.google.com/spreadsheets/d/1Yj_ptqi66GCucihVvJfMjLAmec39IyEx_6qawtMGysU/edit?usp=sharing"",""สบก!AY20"")"),0)</f>
        <v>0</v>
      </c>
      <c r="M126" s="103"/>
      <c r="N126" s="93">
        <f ca="1">IFERROR(__xludf.DUMMYFUNCTION("IMPORTRANGE(""https://docs.google.com/spreadsheets/d/1Yj_ptqi66GCucihVvJfMjLAmec39IyEx_6qawtMGysU/edit?usp=sharing"",""สบก!BC20"")"),0)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239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IFERROR(__xludf.DUMMYFUNCTION("IMPORTRANGE(""https://docs.google.com/spreadsheets/d/11923uPwbBZFjjGgGUA6NLw09EwE0CqkOc4q9oUmW1yo/edit?usp=sharing"",""กำแพงเพชร!J58"")"),0)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IFERROR(__xludf.DUMMYFUNCTION("IMPORTRANGE(""https://docs.google.com/spreadsheets/d/11923uPwbBZFjjGgGUA6NLw09EwE0CqkOc4q9oUmW1yo/edit?usp=sharing"",""กำแพงเพชร!J59"")"),1)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IFERROR(__xludf.DUMMYFUNCTION("IMPORTRANGE(""https://docs.google.com/spreadsheets/d/11923uPwbBZFjjGgGUA6NLw09EwE0CqkOc4q9oUmW1yo/edit?usp=sharing"",""กำแพงเพชร!J60"")"),1)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IFERROR(__xludf.DUMMYFUNCTION("IMPORTRANGE(""https://docs.google.com/spreadsheets/d/11923uPwbBZFjjGgGUA6NLw09EwE0CqkOc4q9oUmW1yo/edit?usp=sharing"",""กำแพงเพชร!J61"")"),1)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IFERROR(__xludf.DUMMYFUNCTION("IMPORTRANGE(""https://docs.google.com/spreadsheets/d/11923uPwbBZFjjGgGUA6NLw09EwE0CqkOc4q9oUmW1yo/edit?usp=sharing"",""กำแพงเพชร!I62"")"),20)</f>
        <v>20</v>
      </c>
      <c r="J132" s="213">
        <f ca="1">IFERROR(__xludf.DUMMYFUNCTION("IMPORTRANGE(""https://docs.google.com/spreadsheets/d/11923uPwbBZFjjGgGUA6NLw09EwE0CqkOc4q9oUmW1yo/edit?usp=sharing"",""กำแพงเพชร!J62"")"),20)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IFERROR(__xludf.DUMMYFUNCTION("IMPORTRANGE(""https://docs.google.com/spreadsheets/d/11923uPwbBZFjjGgGUA6NLw09EwE0CqkOc4q9oUmW1yo/edit?usp=sharing"",""กำแพงเพชร!I63"")"),20)</f>
        <v>20</v>
      </c>
      <c r="J133" s="213">
        <f ca="1">IFERROR(__xludf.DUMMYFUNCTION("IMPORTRANGE(""https://docs.google.com/spreadsheets/d/11923uPwbBZFjjGgGUA6NLw09EwE0CqkOc4q9oUmW1yo/edit?usp=sharing"",""กำแพงเพชร!J63"")"),0)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IFERROR(__xludf.DUMMYFUNCTION("IMPORTRANGE(""https://docs.google.com/spreadsheets/d/11923uPwbBZFjjGgGUA6NLw09EwE0CqkOc4q9oUmW1yo/edit?usp=sharing"",""กำแพงเพชร!J64"")"),0)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IFERROR(__xludf.DUMMYFUNCTION("IMPORTRANGE(""https://docs.google.com/spreadsheets/d/11923uPwbBZFjjGgGUA6NLw09EwE0CqkOc4q9oUmW1yo/edit?usp=sharing"",""กำแพงเพชร!J65"")"),0)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IFERROR(__xludf.DUMMYFUNCTION("IMPORTRANGE(""https://docs.google.com/spreadsheets/d/11923uPwbBZFjjGgGUA6NLw09EwE0CqkOc4q9oUmW1yo/edit?usp=sharing"",""กำแพงเพชร!I68"")"),0)</f>
        <v>0</v>
      </c>
      <c r="J138" s="276">
        <f ca="1">IFERROR(__xludf.DUMMYFUNCTION("IMPORTRANGE(""https://docs.google.com/spreadsheets/d/11923uPwbBZFjjGgGUA6NLw09EwE0CqkOc4q9oUmW1yo/edit?usp=sharing"",""กำแพงเพชร!J68"")"),0)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69000</v>
      </c>
      <c r="M140" s="158">
        <f t="shared" ca="1" si="64"/>
        <v>135550</v>
      </c>
      <c r="N140" s="158">
        <f t="shared" ca="1" si="64"/>
        <v>45980</v>
      </c>
      <c r="O140" s="157">
        <f t="shared" ref="O140:O142" ca="1" si="65">IF(L140&gt;0,N140*100/L140,0)</f>
        <v>66.637681159420296</v>
      </c>
      <c r="P140" s="157">
        <f t="shared" ref="P140:P142" ca="1" si="66">IF(M140&gt;0,N140*100/M140,0)</f>
        <v>33.921062338620438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69000</v>
      </c>
      <c r="M142" s="163">
        <f t="shared" ca="1" si="68"/>
        <v>135550</v>
      </c>
      <c r="N142" s="163">
        <f t="shared" ca="1" si="68"/>
        <v>45980</v>
      </c>
      <c r="O142" s="162">
        <f t="shared" ca="1" si="65"/>
        <v>66.637681159420296</v>
      </c>
      <c r="P142" s="162">
        <f t="shared" ca="1" si="66"/>
        <v>33.921062338620438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69000</v>
      </c>
      <c r="M144" s="176">
        <f ca="1">IFERROR(__xludf.DUMMYFUNCTION("IMPORTRANGE(""https://docs.google.com/spreadsheets/d/1Yj_ptqi66GCucihVvJfMjLAmec39IyEx_6qawtMGysU/edit?usp=sharing"",""สบก!BJ20"")"),135550)</f>
        <v>135550</v>
      </c>
      <c r="N144" s="177">
        <f ca="1">IFERROR(__xludf.DUMMYFUNCTION("IMPORTRANGE(""https://docs.google.com/spreadsheets/d/1Yj_ptqi66GCucihVvJfMjLAmec39IyEx_6qawtMGysU/edit?usp=sharing"",""สบก!BK20"")"),45980)</f>
        <v>45980</v>
      </c>
      <c r="O144" s="178">
        <f ca="1">IF(L144&gt;0,N144*100/L144,0)</f>
        <v>66.637681159420296</v>
      </c>
      <c r="P144" s="178">
        <f ca="1">IF(M144&gt;0,N144*100/M144,0)</f>
        <v>33.921062338620438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IFERROR(__xludf.DUMMYFUNCTION("IMPORTRANGE(""https://docs.google.com/spreadsheets/d/1Yj_ptqi66GCucihVvJfMjLAmec39IyEx_6qawtMGysU/edit?usp=sharing"",""สบก!BF20"")"),0)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IFERROR(__xludf.DUMMYFUNCTION("IMPORTRANGE(""https://docs.google.com/spreadsheets/d/1Yj_ptqi66GCucihVvJfMjLAmec39IyEx_6qawtMGysU/edit?usp=sharing"",""สบก!BG20"")"),69000)</f>
        <v>69000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IFERROR(__xludf.DUMMYFUNCTION("IMPORTRANGE(""https://docs.google.com/spreadsheets/d/1Yj_ptqi66GCucihVvJfMjLAmec39IyEx_6qawtMGysU/edit?usp=sharing"",""สบก!BH20"")"),0)</f>
        <v>0</v>
      </c>
      <c r="M148" s="103"/>
      <c r="N148" s="93">
        <f ca="1">IFERROR(__xludf.DUMMYFUNCTION("IMPORTRANGE(""https://docs.google.com/spreadsheets/d/1Yj_ptqi66GCucihVvJfMjLAmec39IyEx_6qawtMGysU/edit?usp=sharing"",""สบก!BL20"")"),0)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IFERROR(__xludf.DUMMYFUNCTION("IMPORTRANGE(""https://docs.google.com/spreadsheets/d/11923uPwbBZFjjGgGUA6NLw09EwE0CqkOc4q9oUmW1yo/edit?usp=sharing"",""กำแพงเพชร!I74"")"),4)</f>
        <v>4</v>
      </c>
      <c r="J149" s="284">
        <f ca="1">IFERROR(__xludf.DUMMYFUNCTION("IMPORTRANGE(""https://docs.google.com/spreadsheets/d/11923uPwbBZFjjGgGUA6NLw09EwE0CqkOc4q9oUmW1yo/edit?usp=sharing"",""กำแพงเพชร!J74"")"),0)</f>
        <v>0</v>
      </c>
      <c r="K149" s="285">
        <f ca="1">IF(I149&gt;0,J149*100/I149,0)</f>
        <v>0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IFERROR(__xludf.DUMMYFUNCTION("IMPORTRANGE(""https://docs.google.com/spreadsheets/d/11923uPwbBZFjjGgGUA6NLw09EwE0CqkOc4q9oUmW1yo/edit?usp=sharing"",""กำแพงเพชร!J79"")"),0)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IFERROR(__xludf.DUMMYFUNCTION("IMPORTRANGE(""https://docs.google.com/spreadsheets/d/11923uPwbBZFjjGgGUA6NLw09EwE0CqkOc4q9oUmW1yo/edit?usp=sharing"",""กำแพงเพชร!J80"")"),0)</f>
        <v>0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IFERROR(__xludf.DUMMYFUNCTION("IMPORTRANGE(""https://docs.google.com/spreadsheets/d/11923uPwbBZFjjGgGUA6NLw09EwE0CqkOc4q9oUmW1yo/edit?usp=sharing"",""กำแพงเพชร!J81"")"),0)</f>
        <v>0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IFERROR(__xludf.DUMMYFUNCTION("IMPORTRANGE(""https://docs.google.com/spreadsheets/d/11923uPwbBZFjjGgGUA6NLw09EwE0CqkOc4q9oUmW1yo/edit?usp=sharing"",""กำแพงเพชร!J82"")"),0)</f>
        <v>0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IFERROR(__xludf.DUMMYFUNCTION("IMPORTRANGE(""https://docs.google.com/spreadsheets/d/11923uPwbBZFjjGgGUA6NLw09EwE0CqkOc4q9oUmW1yo/edit?usp=sharing"",""กำแพงเพชร!I83"")"),4)</f>
        <v>4</v>
      </c>
      <c r="J158" s="198">
        <f ca="1">IFERROR(__xludf.DUMMYFUNCTION("IMPORTRANGE(""https://docs.google.com/spreadsheets/d/11923uPwbBZFjjGgGUA6NLw09EwE0CqkOc4q9oUmW1yo/edit?usp=sharing"",""กำแพงเพชร!J83"")"),0)</f>
        <v>0</v>
      </c>
      <c r="K158" s="171">
        <f ca="1">IF(I158&gt;0,J158*100/I158,0)</f>
        <v>0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IFERROR(__xludf.DUMMYFUNCTION("IMPORTRANGE(""https://docs.google.com/spreadsheets/d/11923uPwbBZFjjGgGUA6NLw09EwE0CqkOc4q9oUmW1yo/edit?usp=sharing"",""กำแพงเพชร!J84"")"),0)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IFERROR(__xludf.DUMMYFUNCTION("IMPORTRANGE(""https://docs.google.com/spreadsheets/d/11923uPwbBZFjjGgGUA6NLw09EwE0CqkOc4q9oUmW1yo/edit?usp=sharing"",""กำแพงเพชร!J85"")"),0)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IFERROR(__xludf.DUMMYFUNCTION("IMPORTRANGE(""https://docs.google.com/spreadsheets/d/11923uPwbBZFjjGgGUA6NLw09EwE0CqkOc4q9oUmW1yo/edit?usp=sharing"",""กำแพงเพชร!J86"")"),0)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IFERROR(__xludf.DUMMYFUNCTION("IMPORTRANGE(""https://docs.google.com/spreadsheets/d/11923uPwbBZFjjGgGUA6NLw09EwE0CqkOc4q9oUmW1yo/edit?usp=sharing"",""กำแพงเพชร!J87"")"),0)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IFERROR(__xludf.DUMMYFUNCTION("IMPORTRANGE(""https://docs.google.com/spreadsheets/d/11923uPwbBZFjjGgGUA6NLw09EwE0CqkOc4q9oUmW1yo/edit?usp=sharing"",""กำแพงเพชร!J88"")"),0)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IFERROR(__xludf.DUMMYFUNCTION("IMPORTRANGE(""https://docs.google.com/spreadsheets/d/11923uPwbBZFjjGgGUA6NLw09EwE0CqkOc4q9oUmW1yo/edit?usp=sharing"",""กำแพงเพชร!I89"")"),3)</f>
        <v>3</v>
      </c>
      <c r="J164" s="292">
        <f ca="1">IFERROR(__xludf.DUMMYFUNCTION("IMPORTRANGE(""https://docs.google.com/spreadsheets/d/11923uPwbBZFjjGgGUA6NLw09EwE0CqkOc4q9oUmW1yo/edit?usp=sharing"",""กำแพงเพชร!J89"")"),0)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IFERROR(__xludf.DUMMYFUNCTION("IMPORTRANGE(""https://docs.google.com/spreadsheets/d/11923uPwbBZFjjGgGUA6NLw09EwE0CqkOc4q9oUmW1yo/edit?usp=sharing"",""กำแพงเพชร!J94"")"),0)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IFERROR(__xludf.DUMMYFUNCTION("IMPORTRANGE(""https://docs.google.com/spreadsheets/d/11923uPwbBZFjjGgGUA6NLw09EwE0CqkOc4q9oUmW1yo/edit?usp=sharing"",""กำแพงเพชร!J95"")"),1)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IFERROR(__xludf.DUMMYFUNCTION("IMPORTRANGE(""https://docs.google.com/spreadsheets/d/11923uPwbBZFjjGgGUA6NLw09EwE0CqkOc4q9oUmW1yo/edit?usp=sharing"",""กำแพงเพชร!J96"")"),1)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IFERROR(__xludf.DUMMYFUNCTION("IMPORTRANGE(""https://docs.google.com/spreadsheets/d/11923uPwbBZFjjGgGUA6NLw09EwE0CqkOc4q9oUmW1yo/edit?usp=sharing"",""กำแพงเพชร!J97"")"),0)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IFERROR(__xludf.DUMMYFUNCTION("IMPORTRANGE(""https://docs.google.com/spreadsheets/d/11923uPwbBZFjjGgGUA6NLw09EwE0CqkOc4q9oUmW1yo/edit?usp=sharing"",""กำแพงเพชร!I98"")"),3)</f>
        <v>3</v>
      </c>
      <c r="J173" s="198">
        <f ca="1">IFERROR(__xludf.DUMMYFUNCTION("IMPORTRANGE(""https://docs.google.com/spreadsheets/d/11923uPwbBZFjjGgGUA6NLw09EwE0CqkOc4q9oUmW1yo/edit?usp=sharing"",""กำแพงเพชร!J98"")"),0)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IFERROR(__xludf.DUMMYFUNCTION("IMPORTRANGE(""https://docs.google.com/spreadsheets/d/11923uPwbBZFjjGgGUA6NLw09EwE0CqkOc4q9oUmW1yo/edit?usp=sharing"",""กำแพงเพชร!J99"")"),0)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IFERROR(__xludf.DUMMYFUNCTION("IMPORTRANGE(""https://docs.google.com/spreadsheets/d/11923uPwbBZFjjGgGUA6NLw09EwE0CqkOc4q9oUmW1yo/edit?usp=sharing"",""กำแพงเพชร!J100"")"),0)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IFERROR(__xludf.DUMMYFUNCTION("IMPORTRANGE(""https://docs.google.com/spreadsheets/d/11923uPwbBZFjjGgGUA6NLw09EwE0CqkOc4q9oUmW1yo/edit?usp=sharing"",""กำแพงเพชร!I101"")"),0)</f>
        <v>0</v>
      </c>
      <c r="J176" s="292">
        <f ca="1">IFERROR(__xludf.DUMMYFUNCTION("IMPORTRANGE(""https://docs.google.com/spreadsheets/d/11923uPwbBZFjjGgGUA6NLw09EwE0CqkOc4q9oUmW1yo/edit?usp=sharing"",""กำแพงเพชร!J101"")"),0)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IFERROR(__xludf.DUMMYFUNCTION("IMPORTRANGE(""https://docs.google.com/spreadsheets/d/11923uPwbBZFjjGgGUA6NLw09EwE0CqkOc4q9oUmW1yo/edit?usp=sharing"",""กำแพงเพชร!J106"")"),0)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IFERROR(__xludf.DUMMYFUNCTION("IMPORTRANGE(""https://docs.google.com/spreadsheets/d/11923uPwbBZFjjGgGUA6NLw09EwE0CqkOc4q9oUmW1yo/edit?usp=sharing"",""กำแพงเพชร!J107"")"),0)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IFERROR(__xludf.DUMMYFUNCTION("IMPORTRANGE(""https://docs.google.com/spreadsheets/d/11923uPwbBZFjjGgGUA6NLw09EwE0CqkOc4q9oUmW1yo/edit?usp=sharing"",""กำแพงเพชร!J108"")"),0)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IFERROR(__xludf.DUMMYFUNCTION("IMPORTRANGE(""https://docs.google.com/spreadsheets/d/11923uPwbBZFjjGgGUA6NLw09EwE0CqkOc4q9oUmW1yo/edit?usp=sharing"",""กำแพงเพชร!J109"")"),0)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IFERROR(__xludf.DUMMYFUNCTION("IMPORTRANGE(""https://docs.google.com/spreadsheets/d/11923uPwbBZFjjGgGUA6NLw09EwE0CqkOc4q9oUmW1yo/edit?usp=sharing"",""กำแพงเพชร!I110"")"),0)</f>
        <v>0</v>
      </c>
      <c r="J185" s="213">
        <f ca="1">IFERROR(__xludf.DUMMYFUNCTION("IMPORTRANGE(""https://docs.google.com/spreadsheets/d/11923uPwbBZFjjGgGUA6NLw09EwE0CqkOc4q9oUmW1yo/edit?usp=sharing"",""กำแพงเพชร!J110"")"),0)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IFERROR(__xludf.DUMMYFUNCTION("IMPORTRANGE(""https://docs.google.com/spreadsheets/d/11923uPwbBZFjjGgGUA6NLw09EwE0CqkOc4q9oUmW1yo/edit?usp=sharing"",""กำแพงเพชร!I111"")"),0)</f>
        <v>0</v>
      </c>
      <c r="J186" s="213">
        <f ca="1">IFERROR(__xludf.DUMMYFUNCTION("IMPORTRANGE(""https://docs.google.com/spreadsheets/d/11923uPwbBZFjjGgGUA6NLw09EwE0CqkOc4q9oUmW1yo/edit?usp=sharing"",""กำแพงเพชร!J111"")"),0)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IFERROR(__xludf.DUMMYFUNCTION("IMPORTRANGE(""https://docs.google.com/spreadsheets/d/11923uPwbBZFjjGgGUA6NLw09EwE0CqkOc4q9oUmW1yo/edit?usp=sharing"",""กำแพงเพชร!J112"")"),0)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IFERROR(__xludf.DUMMYFUNCTION("IMPORTRANGE(""https://docs.google.com/spreadsheets/d/11923uPwbBZFjjGgGUA6NLw09EwE0CqkOc4q9oUmW1yo/edit?usp=sharing"",""กำแพงเพชร!J113"")"),0)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IFERROR(__xludf.DUMMYFUNCTION("IMPORTRANGE(""https://docs.google.com/spreadsheets/d/11923uPwbBZFjjGgGUA6NLw09EwE0CqkOc4q9oUmW1yo/edit?usp=sharing"",""กำแพงเพชร!I114"")"),50000)</f>
        <v>50000</v>
      </c>
      <c r="J189" s="292">
        <f ca="1">IFERROR(__xludf.DUMMYFUNCTION("IMPORTRANGE(""https://docs.google.com/spreadsheets/d/11923uPwbBZFjjGgGUA6NLw09EwE0CqkOc4q9oUmW1yo/edit?usp=sharing"",""กำแพงเพชร!J114"")"),0)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IFERROR(__xludf.DUMMYFUNCTION("IMPORTRANGE(""https://docs.google.com/spreadsheets/d/11923uPwbBZFjjGgGUA6NLw09EwE0CqkOc4q9oUmW1yo/edit?usp=sharing"",""กำแพงเพชร!J119"")"),0)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IFERROR(__xludf.DUMMYFUNCTION("IMPORTRANGE(""https://docs.google.com/spreadsheets/d/11923uPwbBZFjjGgGUA6NLw09EwE0CqkOc4q9oUmW1yo/edit?usp=sharing"",""กำแพงเพชร!J120"")"),1)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IFERROR(__xludf.DUMMYFUNCTION("IMPORTRANGE(""https://docs.google.com/spreadsheets/d/11923uPwbBZFjjGgGUA6NLw09EwE0CqkOc4q9oUmW1yo/edit?usp=sharing"",""กำแพงเพชร!J121"")"),0)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IFERROR(__xludf.DUMMYFUNCTION("IMPORTRANGE(""https://docs.google.com/spreadsheets/d/11923uPwbBZFjjGgGUA6NLw09EwE0CqkOc4q9oUmW1yo/edit?usp=sharing"",""กำแพงเพชร!J122"")"),0)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IFERROR(__xludf.DUMMYFUNCTION("IMPORTRANGE(""https://docs.google.com/spreadsheets/d/11923uPwbBZFjjGgGUA6NLw09EwE0CqkOc4q9oUmW1yo/edit?usp=sharing"",""กำแพงเพชร!I124"")"),50000)</f>
        <v>50000</v>
      </c>
      <c r="J199" s="198">
        <f ca="1">IFERROR(__xludf.DUMMYFUNCTION("IMPORTRANGE(""https://docs.google.com/spreadsheets/d/11923uPwbBZFjjGgGUA6NLw09EwE0CqkOc4q9oUmW1yo/edit?usp=sharing"",""กำแพงเพชร!J124"")"),0)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IFERROR(__xludf.DUMMYFUNCTION("IMPORTRANGE(""https://docs.google.com/spreadsheets/d/11923uPwbBZFjjGgGUA6NLw09EwE0CqkOc4q9oUmW1yo/edit?usp=sharing"",""กำแพงเพชร!I125"")"),50000)</f>
        <v>50000</v>
      </c>
      <c r="J200" s="198">
        <f ca="1">IFERROR(__xludf.DUMMYFUNCTION("IMPORTRANGE(""https://docs.google.com/spreadsheets/d/11923uPwbBZFjjGgGUA6NLw09EwE0CqkOc4q9oUmW1yo/edit?usp=sharing"",""กำแพงเพชร!J125"")"),0)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IFERROR(__xludf.DUMMYFUNCTION("IMPORTRANGE(""https://docs.google.com/spreadsheets/d/11923uPwbBZFjjGgGUA6NLw09EwE0CqkOc4q9oUmW1yo/edit?usp=sharing"",""กำแพงเพชร!I126"")"),0)</f>
        <v>0</v>
      </c>
      <c r="J201" s="198">
        <f ca="1">IFERROR(__xludf.DUMMYFUNCTION("IMPORTRANGE(""https://docs.google.com/spreadsheets/d/11923uPwbBZFjjGgGUA6NLw09EwE0CqkOc4q9oUmW1yo/edit?usp=sharing"",""กำแพงเพชร!J126"")"),0)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IFERROR(__xludf.DUMMYFUNCTION("IMPORTRANGE(""https://docs.google.com/spreadsheets/d/11923uPwbBZFjjGgGUA6NLw09EwE0CqkOc4q9oUmW1yo/edit?usp=sharing"",""กำแพงเพชร!J127"")"),0)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IFERROR(__xludf.DUMMYFUNCTION("IMPORTRANGE(""https://docs.google.com/spreadsheets/d/11923uPwbBZFjjGgGUA6NLw09EwE0CqkOc4q9oUmW1yo/edit?usp=sharing"",""กำแพงเพชร!J128"")"),0)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IFERROR(__xludf.DUMMYFUNCTION("IMPORTRANGE(""https://docs.google.com/spreadsheets/d/11923uPwbBZFjjGgGUA6NLw09EwE0CqkOc4q9oUmW1yo/edit?usp=sharing"",""กำแพงเพชร!I129"")"),0)</f>
        <v>0</v>
      </c>
      <c r="J204" s="292">
        <f ca="1">IFERROR(__xludf.DUMMYFUNCTION("IMPORTRANGE(""https://docs.google.com/spreadsheets/d/11923uPwbBZFjjGgGUA6NLw09EwE0CqkOc4q9oUmW1yo/edit?usp=sharing"",""กำแพงเพชร!J129"")"),0)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IFERROR(__xludf.DUMMYFUNCTION("IMPORTRANGE(""https://docs.google.com/spreadsheets/d/11923uPwbBZFjjGgGUA6NLw09EwE0CqkOc4q9oUmW1yo/edit?usp=sharing"",""กำแพงเพชร!J134"")"),0)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IFERROR(__xludf.DUMMYFUNCTION("IMPORTRANGE(""https://docs.google.com/spreadsheets/d/11923uPwbBZFjjGgGUA6NLw09EwE0CqkOc4q9oUmW1yo/edit?usp=sharing"",""กำแพงเพชร!J135"")"),0)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IFERROR(__xludf.DUMMYFUNCTION("IMPORTRANGE(""https://docs.google.com/spreadsheets/d/11923uPwbBZFjjGgGUA6NLw09EwE0CqkOc4q9oUmW1yo/edit?usp=sharing"",""กำแพงเพชร!J136"")"),0)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IFERROR(__xludf.DUMMYFUNCTION("IMPORTRANGE(""https://docs.google.com/spreadsheets/d/11923uPwbBZFjjGgGUA6NLw09EwE0CqkOc4q9oUmW1yo/edit?usp=sharing"",""กำแพงเพชร!J137"")"),0)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IFERROR(__xludf.DUMMYFUNCTION("IMPORTRANGE(""https://docs.google.com/spreadsheets/d/11923uPwbBZFjjGgGUA6NLw09EwE0CqkOc4q9oUmW1yo/edit?usp=sharing"",""กำแพงเพชร!I138"")"),0)</f>
        <v>0</v>
      </c>
      <c r="J213" s="213">
        <f ca="1">IFERROR(__xludf.DUMMYFUNCTION("IMPORTRANGE(""https://docs.google.com/spreadsheets/d/11923uPwbBZFjjGgGUA6NLw09EwE0CqkOc4q9oUmW1yo/edit?usp=sharing"",""กำแพงเพชร!J138"")"),0)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IFERROR(__xludf.DUMMYFUNCTION("IMPORTRANGE(""https://docs.google.com/spreadsheets/d/11923uPwbBZFjjGgGUA6NLw09EwE0CqkOc4q9oUmW1yo/edit?usp=sharing"",""กำแพงเพชร!I140"")"),0)</f>
        <v>0</v>
      </c>
      <c r="J215" s="213">
        <f ca="1">IFERROR(__xludf.DUMMYFUNCTION("IMPORTRANGE(""https://docs.google.com/spreadsheets/d/11923uPwbBZFjjGgGUA6NLw09EwE0CqkOc4q9oUmW1yo/edit?usp=sharing"",""กำแพงเพชร!J140"")"),0)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IFERROR(__xludf.DUMMYFUNCTION("IMPORTRANGE(""https://docs.google.com/spreadsheets/d/11923uPwbBZFjjGgGUA6NLw09EwE0CqkOc4q9oUmW1yo/edit?usp=sharing"",""กำแพงเพชร!I141"")"),0)</f>
        <v>0</v>
      </c>
      <c r="J216" s="213">
        <f ca="1">IFERROR(__xludf.DUMMYFUNCTION("IMPORTRANGE(""https://docs.google.com/spreadsheets/d/11923uPwbBZFjjGgGUA6NLw09EwE0CqkOc4q9oUmW1yo/edit?usp=sharing"",""กำแพงเพชร!J141"")"),0)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IFERROR(__xludf.DUMMYFUNCTION("IMPORTRANGE(""https://docs.google.com/spreadsheets/d/11923uPwbBZFjjGgGUA6NLw09EwE0CqkOc4q9oUmW1yo/edit?usp=sharing"",""กำแพงเพชร!J142"")"),0)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IFERROR(__xludf.DUMMYFUNCTION("IMPORTRANGE(""https://docs.google.com/spreadsheets/d/11923uPwbBZFjjGgGUA6NLw09EwE0CqkOc4q9oUmW1yo/edit?usp=sharing"",""กำแพงเพชร!J143"")"),0)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IFERROR(__xludf.DUMMYFUNCTION("IMPORTRANGE(""https://docs.google.com/spreadsheets/d/11923uPwbBZFjjGgGUA6NLw09EwE0CqkOc4q9oUmW1yo/edit?usp=sharing"",""กำแพงเพชร!I144"")"),15)</f>
        <v>15</v>
      </c>
      <c r="J219" s="276">
        <f ca="1">IFERROR(__xludf.DUMMYFUNCTION("IMPORTRANGE(""https://docs.google.com/spreadsheets/d/11923uPwbBZFjjGgGUA6NLw09EwE0CqkOc4q9oUmW1yo/edit?usp=sharing"",""กำแพงเพชร!J144"")"),15)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IFERROR(__xludf.DUMMYFUNCTION("IMPORTRANGE(""https://docs.google.com/spreadsheets/d/1Yj_ptqi66GCucihVvJfMjLAmec39IyEx_6qawtMGysU/edit?usp=sharing"",""สบก!BS20"")"),21125)</f>
        <v>21125</v>
      </c>
      <c r="N224" s="177">
        <f ca="1">IFERROR(__xludf.DUMMYFUNCTION("IMPORTRANGE(""https://docs.google.com/spreadsheets/d/1Yj_ptqi66GCucihVvJfMjLAmec39IyEx_6qawtMGysU/edit?usp=sharing"",""สบก!BT20"")"),21125)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IFERROR(__xludf.DUMMYFUNCTION("IMPORTRANGE(""https://docs.google.com/spreadsheets/d/1Yj_ptqi66GCucihVvJfMjLAmec39IyEx_6qawtMGysU/edit?usp=sharing"",""สบก!BO20"")"),0)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IFERROR(__xludf.DUMMYFUNCTION("IMPORTRANGE(""https://docs.google.com/spreadsheets/d/1Yj_ptqi66GCucihVvJfMjLAmec39IyEx_6qawtMGysU/edit?usp=sharing"",""สบก!BP20"")"),21125)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IFERROR(__xludf.DUMMYFUNCTION("IMPORTRANGE(""https://docs.google.com/spreadsheets/d/1Yj_ptqi66GCucihVvJfMjLAmec39IyEx_6qawtMGysU/edit?usp=sharing"",""สบก!BQ20"")"),0)</f>
        <v>0</v>
      </c>
      <c r="M228" s="103"/>
      <c r="N228" s="93">
        <f ca="1">IFERROR(__xludf.DUMMYFUNCTION("IMPORTRANGE(""https://docs.google.com/spreadsheets/d/1Yj_ptqi66GCucihVvJfMjLAmec39IyEx_6qawtMGysU/edit?usp=sharing"",""สบก!BU20"")"),0)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IFERROR(__xludf.DUMMYFUNCTION("IMPORTRANGE(""https://docs.google.com/spreadsheets/d/11923uPwbBZFjjGgGUA6NLw09EwE0CqkOc4q9oUmW1yo/edit?usp=sharing"",""กำแพงเพชร!I149"")"),15)</f>
        <v>15</v>
      </c>
      <c r="J229" s="276">
        <f ca="1">IFERROR(__xludf.DUMMYFUNCTION("IMPORTRANGE(""https://docs.google.com/spreadsheets/d/11923uPwbBZFjjGgGUA6NLw09EwE0CqkOc4q9oUmW1yo/edit?usp=sharing"",""กำแพงเพชร!J149"")"),15)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IFERROR(__xludf.DUMMYFUNCTION("IMPORTRANGE(""https://docs.google.com/spreadsheets/d/11923uPwbBZFjjGgGUA6NLw09EwE0CqkOc4q9oUmW1yo/edit?usp=sharing"",""กำแพงเพชร!J151"")"),0)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IFERROR(__xludf.DUMMYFUNCTION("IMPORTRANGE(""https://docs.google.com/spreadsheets/d/11923uPwbBZFjjGgGUA6NLw09EwE0CqkOc4q9oUmW1yo/edit?usp=sharing"",""กำแพงเพชร!J152"")"),0)</f>
        <v>0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IFERROR(__xludf.DUMMYFUNCTION("IMPORTRANGE(""https://docs.google.com/spreadsheets/d/11923uPwbBZFjjGgGUA6NLw09EwE0CqkOc4q9oUmW1yo/edit?usp=sharing"",""กำแพงเพชร!J153"")"),1)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IFERROR(__xludf.DUMMYFUNCTION("IMPORTRANGE(""https://docs.google.com/spreadsheets/d/11923uPwbBZFjjGgGUA6NLw09EwE0CqkOc4q9oUmW1yo/edit?usp=sharing"",""กำแพงเพชร!J154"")"),1)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IFERROR(__xludf.DUMMYFUNCTION("IMPORTRANGE(""https://docs.google.com/spreadsheets/d/11923uPwbBZFjjGgGUA6NLw09EwE0CqkOc4q9oUmW1yo/edit?usp=sharing"",""กำแพงเพชร!I155"")"),15)</f>
        <v>15</v>
      </c>
      <c r="J235" s="198">
        <f ca="1">IFERROR(__xludf.DUMMYFUNCTION("IMPORTRANGE(""https://docs.google.com/spreadsheets/d/11923uPwbBZFjjGgGUA6NLw09EwE0CqkOc4q9oUmW1yo/edit?usp=sharing"",""กำแพงเพชร!J155"")"),15)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IFERROR(__xludf.DUMMYFUNCTION("IMPORTRANGE(""https://docs.google.com/spreadsheets/d/11923uPwbBZFjjGgGUA6NLw09EwE0CqkOc4q9oUmW1yo/edit?usp=sharing"",""กำแพงเพชร!J156"")"),1)</f>
        <v>1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IFERROR(__xludf.DUMMYFUNCTION("IMPORTRANGE(""https://docs.google.com/spreadsheets/d/11923uPwbBZFjjGgGUA6NLw09EwE0CqkOc4q9oUmW1yo/edit?usp=sharing"",""กำแพงเพชร!J157"")"),1)</f>
        <v>1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IFERROR(__xludf.DUMMYFUNCTION("IMPORTRANGE(""https://docs.google.com/spreadsheets/d/11923uPwbBZFjjGgGUA6NLw09EwE0CqkOc4q9oUmW1yo/edit?usp=sharing"",""กำแพงเพชร!I158"")"),0)</f>
        <v>0</v>
      </c>
      <c r="J238" s="276">
        <f ca="1">IFERROR(__xludf.DUMMYFUNCTION("IMPORTRANGE(""https://docs.google.com/spreadsheets/d/11923uPwbBZFjjGgGUA6NLw09EwE0CqkOc4q9oUmW1yo/edit?usp=sharing"",""กำแพงเพชร!J158"")"),0)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IFERROR(__xludf.DUMMYFUNCTION("IMPORTRANGE(""https://docs.google.com/spreadsheets/d/11923uPwbBZFjjGgGUA6NLw09EwE0CqkOc4q9oUmW1yo/edit?usp=sharing"",""กำแพงเพชร!J159"")"),"")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IFERROR(__xludf.DUMMYFUNCTION("IMPORTRANGE(""https://docs.google.com/spreadsheets/d/11923uPwbBZFjjGgGUA6NLw09EwE0CqkOc4q9oUmW1yo/edit?usp=sharing"",""กำแพงเพชร!J161"")"),0)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IFERROR(__xludf.DUMMYFUNCTION("IMPORTRANGE(""https://docs.google.com/spreadsheets/d/11923uPwbBZFjjGgGUA6NLw09EwE0CqkOc4q9oUmW1yo/edit?usp=sharing"",""กำแพงเพชร!J162"")"),0)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IFERROR(__xludf.DUMMYFUNCTION("IMPORTRANGE(""https://docs.google.com/spreadsheets/d/11923uPwbBZFjjGgGUA6NLw09EwE0CqkOc4q9oUmW1yo/edit?usp=sharing"",""กำแพงเพชร!J163"")"),0)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IFERROR(__xludf.DUMMYFUNCTION("IMPORTRANGE(""https://docs.google.com/spreadsheets/d/11923uPwbBZFjjGgGUA6NLw09EwE0CqkOc4q9oUmW1yo/edit?usp=sharing"",""กำแพงเพชร!I164"")"),0)</f>
        <v>0</v>
      </c>
      <c r="J244" s="197">
        <f ca="1">IFERROR(__xludf.DUMMYFUNCTION("IMPORTRANGE(""https://docs.google.com/spreadsheets/d/11923uPwbBZFjjGgGUA6NLw09EwE0CqkOc4q9oUmW1yo/edit?usp=sharing"",""กำแพงเพชร!J164"")"),0)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IFERROR(__xludf.DUMMYFUNCTION("IMPORTRANGE(""https://docs.google.com/spreadsheets/d/11923uPwbBZFjjGgGUA6NLw09EwE0CqkOc4q9oUmW1yo/edit?usp=sharing"",""กำแพงเพชร!J165"")"),0)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IFERROR(__xludf.DUMMYFUNCTION("IMPORTRANGE(""https://docs.google.com/spreadsheets/d/11923uPwbBZFjjGgGUA6NLw09EwE0CqkOc4q9oUmW1yo/edit?usp=sharing"",""กำแพงเพชร!J166"")"),0)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IFERROR(__xludf.DUMMYFUNCTION("IMPORTRANGE(""https://docs.google.com/spreadsheets/d/11923uPwbBZFjjGgGUA6NLw09EwE0CqkOc4q9oUmW1yo/edit?usp=sharing"",""กำแพงเพชร!I169"")"),0)</f>
        <v>0</v>
      </c>
      <c r="J249" s="324">
        <f ca="1">IFERROR(__xludf.DUMMYFUNCTION("IMPORTRANGE(""https://docs.google.com/spreadsheets/d/11923uPwbBZFjjGgGUA6NLw09EwE0CqkOc4q9oUmW1yo/edit?usp=sharing"",""กำแพงเพชร!J169"")"),0)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IFERROR(__xludf.DUMMYFUNCTION("IMPORTRANGE(""https://docs.google.com/spreadsheets/d/1Yj_ptqi66GCucihVvJfMjLAmec39IyEx_6qawtMGysU/edit?usp=sharing"",""สบก!CB20"")"),0)</f>
        <v>0</v>
      </c>
      <c r="N254" s="177">
        <f ca="1">IFERROR(__xludf.DUMMYFUNCTION("IMPORTRANGE(""https://docs.google.com/spreadsheets/d/1Yj_ptqi66GCucihVvJfMjLAmec39IyEx_6qawtMGysU/edit?usp=sharing"",""สบก!CC20"")"),0)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IFERROR(__xludf.DUMMYFUNCTION("IMPORTRANGE(""https://docs.google.com/spreadsheets/d/1Yj_ptqi66GCucihVvJfMjLAmec39IyEx_6qawtMGysU/edit?usp=sharing"",""สบก!BX20"")"),0)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IFERROR(__xludf.DUMMYFUNCTION("IMPORTRANGE(""https://docs.google.com/spreadsheets/d/1Yj_ptqi66GCucihVvJfMjLAmec39IyEx_6qawtMGysU/edit?usp=sharing"",""สบก!BY20"")"),0)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IFERROR(__xludf.DUMMYFUNCTION("IMPORTRANGE(""https://docs.google.com/spreadsheets/d/1Yj_ptqi66GCucihVvJfMjLAmec39IyEx_6qawtMGysU/edit?usp=sharing"",""สบก!BZ20"")"),0)</f>
        <v>0</v>
      </c>
      <c r="M258" s="103"/>
      <c r="N258" s="93">
        <f ca="1">IFERROR(__xludf.DUMMYFUNCTION("IMPORTRANGE(""https://docs.google.com/spreadsheets/d/1Yj_ptqi66GCucihVvJfMjLAmec39IyEx_6qawtMGysU/edit?usp=sharing"",""สบก!CD20"")"),0)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IFERROR(__xludf.DUMMYFUNCTION("IMPORTRANGE(""https://docs.google.com/spreadsheets/d/11923uPwbBZFjjGgGUA6NLw09EwE0CqkOc4q9oUmW1yo/edit?usp=sharing"",""กำแพงเพชร!J175"")"),0)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IFERROR(__xludf.DUMMYFUNCTION("IMPORTRANGE(""https://docs.google.com/spreadsheets/d/11923uPwbBZFjjGgGUA6NLw09EwE0CqkOc4q9oUmW1yo/edit?usp=sharing"",""กำแพงเพชร!J176"")"),0)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IFERROR(__xludf.DUMMYFUNCTION("IMPORTRANGE(""https://docs.google.com/spreadsheets/d/11923uPwbBZFjjGgGUA6NLw09EwE0CqkOc4q9oUmW1yo/edit?usp=sharing"",""กำแพงเพชร!J177"")"),0)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IFERROR(__xludf.DUMMYFUNCTION("IMPORTRANGE(""https://docs.google.com/spreadsheets/d/11923uPwbBZFjjGgGUA6NLw09EwE0CqkOc4q9oUmW1yo/edit?usp=sharing"",""กำแพงเพชร!J178"")"),0)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IFERROR(__xludf.DUMMYFUNCTION("IMPORTRANGE(""https://docs.google.com/spreadsheets/d/11923uPwbBZFjjGgGUA6NLw09EwE0CqkOc4q9oUmW1yo/edit?usp=sharing"",""กำแพงเพชร!I179"")"),0)</f>
        <v>0</v>
      </c>
      <c r="J264" s="198">
        <f ca="1">IFERROR(__xludf.DUMMYFUNCTION("IMPORTRANGE(""https://docs.google.com/spreadsheets/d/11923uPwbBZFjjGgGUA6NLw09EwE0CqkOc4q9oUmW1yo/edit?usp=sharing"",""กำแพงเพชร!J179"")"),0)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IFERROR(__xludf.DUMMYFUNCTION("IMPORTRANGE(""https://docs.google.com/spreadsheets/d/11923uPwbBZFjjGgGUA6NLw09EwE0CqkOc4q9oUmW1yo/edit?usp=sharing"",""กำแพงเพชร!I180"")"),0)</f>
        <v>0</v>
      </c>
      <c r="J265" s="198">
        <f ca="1">IFERROR(__xludf.DUMMYFUNCTION("IMPORTRANGE(""https://docs.google.com/spreadsheets/d/11923uPwbBZFjjGgGUA6NLw09EwE0CqkOc4q9oUmW1yo/edit?usp=sharing"",""กำแพงเพชร!J180"")"),0)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IFERROR(__xludf.DUMMYFUNCTION("IMPORTRANGE(""https://docs.google.com/spreadsheets/d/11923uPwbBZFjjGgGUA6NLw09EwE0CqkOc4q9oUmW1yo/edit?usp=sharing"",""กำแพงเพชร!I181"")"),0)</f>
        <v>0</v>
      </c>
      <c r="J266" s="198">
        <f ca="1">IFERROR(__xludf.DUMMYFUNCTION("IMPORTRANGE(""https://docs.google.com/spreadsheets/d/11923uPwbBZFjjGgGUA6NLw09EwE0CqkOc4q9oUmW1yo/edit?usp=sharing"",""กำแพงเพชร!J181"")"),0)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IFERROR(__xludf.DUMMYFUNCTION("IMPORTRANGE(""https://docs.google.com/spreadsheets/d/11923uPwbBZFjjGgGUA6NLw09EwE0CqkOc4q9oUmW1yo/edit?usp=sharing"",""กำแพงเพชร!I182"")"),0)</f>
        <v>0</v>
      </c>
      <c r="J267" s="198">
        <f ca="1">IFERROR(__xludf.DUMMYFUNCTION("IMPORTRANGE(""https://docs.google.com/spreadsheets/d/11923uPwbBZFjjGgGUA6NLw09EwE0CqkOc4q9oUmW1yo/edit?usp=sharing"",""กำแพงเพชร!J182"")"),0)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IFERROR(__xludf.DUMMYFUNCTION("IMPORTRANGE(""https://docs.google.com/spreadsheets/d/11923uPwbBZFjjGgGUA6NLw09EwE0CqkOc4q9oUmW1yo/edit?usp=sharing"",""กำแพงเพชร!J183"")"),0)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IFERROR(__xludf.DUMMYFUNCTION("IMPORTRANGE(""https://docs.google.com/spreadsheets/d/11923uPwbBZFjjGgGUA6NLw09EwE0CqkOc4q9oUmW1yo/edit?usp=sharing"",""กำแพงเพชร!J184"")"),0)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IFERROR(__xludf.DUMMYFUNCTION("IMPORTRANGE(""https://docs.google.com/spreadsheets/d/11923uPwbBZFjjGgGUA6NLw09EwE0CqkOc4q9oUmW1yo/edit?usp=sharing"",""กำแพงเพชร!I185"")"),15)</f>
        <v>15</v>
      </c>
      <c r="J270" s="324">
        <f ca="1">IFERROR(__xludf.DUMMYFUNCTION("IMPORTRANGE(""https://docs.google.com/spreadsheets/d/11923uPwbBZFjjGgGUA6NLw09EwE0CqkOc4q9oUmW1yo/edit?usp=sharing"",""กำแพงเพชร!J185"")"),1)</f>
        <v>1</v>
      </c>
      <c r="K270" s="325">
        <f ca="1">IF(I270&gt;0,J270*100/I270,0)</f>
        <v>6.666666666666667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319200</v>
      </c>
      <c r="M271" s="158">
        <f t="shared" ca="1" si="83"/>
        <v>164250</v>
      </c>
      <c r="N271" s="158">
        <f t="shared" ca="1" si="83"/>
        <v>82000</v>
      </c>
      <c r="O271" s="157">
        <f t="shared" ref="O271:O273" ca="1" si="84">IF(L271&gt;0,N271*100/L271,0)</f>
        <v>25.68922305764411</v>
      </c>
      <c r="P271" s="157">
        <f t="shared" ref="P271:P273" ca="1" si="85">IF(M271&gt;0,N271*100/M271,0)</f>
        <v>49.923896499238964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319200</v>
      </c>
      <c r="M273" s="163">
        <f t="shared" ca="1" si="87"/>
        <v>164250</v>
      </c>
      <c r="N273" s="163">
        <f t="shared" ca="1" si="87"/>
        <v>82000</v>
      </c>
      <c r="O273" s="162">
        <f t="shared" ca="1" si="84"/>
        <v>25.68922305764411</v>
      </c>
      <c r="P273" s="162">
        <f t="shared" ca="1" si="85"/>
        <v>49.923896499238964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319200</v>
      </c>
      <c r="M275" s="176">
        <f ca="1">IFERROR(__xludf.DUMMYFUNCTION("IMPORTRANGE(""https://docs.google.com/spreadsheets/d/1Yj_ptqi66GCucihVvJfMjLAmec39IyEx_6qawtMGysU/edit?usp=sharing"",""สบก!CK20"")"),164250)</f>
        <v>164250</v>
      </c>
      <c r="N275" s="177">
        <f ca="1">IFERROR(__xludf.DUMMYFUNCTION("IMPORTRANGE(""https://docs.google.com/spreadsheets/d/1Yj_ptqi66GCucihVvJfMjLAmec39IyEx_6qawtMGysU/edit?usp=sharing"",""สบก!CL20"")"),82000)</f>
        <v>82000</v>
      </c>
      <c r="O275" s="178">
        <f ca="1">IF(L275&gt;0,N275*100/L275,0)</f>
        <v>25.68922305764411</v>
      </c>
      <c r="P275" s="178">
        <f ca="1">IF(M275&gt;0,N275*100/M275,0)</f>
        <v>49.923896499238964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IFERROR(__xludf.DUMMYFUNCTION("IMPORTRANGE(""https://docs.google.com/spreadsheets/d/1Yj_ptqi66GCucihVvJfMjLAmec39IyEx_6qawtMGysU/edit?usp=sharing"",""สบก!CG20"")"),264000)</f>
        <v>264000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IFERROR(__xludf.DUMMYFUNCTION("IMPORTRANGE(""https://docs.google.com/spreadsheets/d/1Yj_ptqi66GCucihVvJfMjLAmec39IyEx_6qawtMGysU/edit?usp=sharing"",""สบก!CH20"")"),55200)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IFERROR(__xludf.DUMMYFUNCTION("IMPORTRANGE(""https://docs.google.com/spreadsheets/d/1Yj_ptqi66GCucihVvJfMjLAmec39IyEx_6qawtMGysU/edit?usp=sharing"",""สบก!CI20"")"),0)</f>
        <v>0</v>
      </c>
      <c r="M279" s="103"/>
      <c r="N279" s="93">
        <f ca="1">IFERROR(__xludf.DUMMYFUNCTION("IMPORTRANGE(""https://docs.google.com/spreadsheets/d/1Yj_ptqi66GCucihVvJfMjLAmec39IyEx_6qawtMGysU/edit?usp=sharing"",""สบก!CM20"")"),0)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IFERROR(__xludf.DUMMYFUNCTION("IMPORTRANGE(""https://docs.google.com/spreadsheets/d/11923uPwbBZFjjGgGUA6NLw09EwE0CqkOc4q9oUmW1yo/edit?usp=sharing"",""กำแพงเพชร!J191"")"),0)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IFERROR(__xludf.DUMMYFUNCTION("IMPORTRANGE(""https://docs.google.com/spreadsheets/d/11923uPwbBZFjjGgGUA6NLw09EwE0CqkOc4q9oUmW1yo/edit?usp=sharing"",""กำแพงเพชร!J192"")"),1)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IFERROR(__xludf.DUMMYFUNCTION("IMPORTRANGE(""https://docs.google.com/spreadsheets/d/11923uPwbBZFjjGgGUA6NLw09EwE0CqkOc4q9oUmW1yo/edit?usp=sharing"",""กำแพงเพชร!J193"")"),1)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IFERROR(__xludf.DUMMYFUNCTION("IMPORTRANGE(""https://docs.google.com/spreadsheets/d/11923uPwbBZFjjGgGUA6NLw09EwE0CqkOc4q9oUmW1yo/edit?usp=sharing"",""กำแพงเพชร!J194"")"),1)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IFERROR(__xludf.DUMMYFUNCTION("IMPORTRANGE(""https://docs.google.com/spreadsheets/d/11923uPwbBZFjjGgGUA6NLw09EwE0CqkOc4q9oUmW1yo/edit?usp=sharing"",""กำแพงเพชร!I195"")"),15)</f>
        <v>15</v>
      </c>
      <c r="J285" s="198">
        <f ca="1">IFERROR(__xludf.DUMMYFUNCTION("IMPORTRANGE(""https://docs.google.com/spreadsheets/d/11923uPwbBZFjjGgGUA6NLw09EwE0CqkOc4q9oUmW1yo/edit?usp=sharing"",""กำแพงเพชร!J195"")"),1)</f>
        <v>1</v>
      </c>
      <c r="K285" s="171">
        <f ca="1">IF(I285&gt;0,J285*100/I285,0)</f>
        <v>6.666666666666667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IFERROR(__xludf.DUMMYFUNCTION("IMPORTRANGE(""https://docs.google.com/spreadsheets/d/11923uPwbBZFjjGgGUA6NLw09EwE0CqkOc4q9oUmW1yo/edit?usp=sharing"",""กำแพงเพชร!J196"")"),0)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IFERROR(__xludf.DUMMYFUNCTION("IMPORTRANGE(""https://docs.google.com/spreadsheets/d/11923uPwbBZFjjGgGUA6NLw09EwE0CqkOc4q9oUmW1yo/edit?usp=sharing"",""กำแพงเพชร!J197"")"),0)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IFERROR(__xludf.DUMMYFUNCTION("IMPORTRANGE(""https://docs.google.com/spreadsheets/d/11923uPwbBZFjjGgGUA6NLw09EwE0CqkOc4q9oUmW1yo/edit?usp=sharing"",""กำแพงเพชร!I199"")"),0)</f>
        <v>0</v>
      </c>
      <c r="J289" s="324">
        <f ca="1">IFERROR(__xludf.DUMMYFUNCTION("IMPORTRANGE(""https://docs.google.com/spreadsheets/d/11923uPwbBZFjjGgGUA6NLw09EwE0CqkOc4q9oUmW1yo/edit?usp=sharing"",""กำแพงเพชร!J199"")"),0)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IFERROR(__xludf.DUMMYFUNCTION("IMPORTRANGE(""https://docs.google.com/spreadsheets/d/1Yj_ptqi66GCucihVvJfMjLAmec39IyEx_6qawtMGysU/edit?usp=sharing"",""สบก!CT20"")"),0)</f>
        <v>0</v>
      </c>
      <c r="N294" s="177">
        <f ca="1">IFERROR(__xludf.DUMMYFUNCTION("IMPORTRANGE(""https://docs.google.com/spreadsheets/d/1Yj_ptqi66GCucihVvJfMjLAmec39IyEx_6qawtMGysU/edit?usp=sharing"",""สบก!CU20"")"),0)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IFERROR(__xludf.DUMMYFUNCTION("IMPORTRANGE(""https://docs.google.com/spreadsheets/d/1Yj_ptqi66GCucihVvJfMjLAmec39IyEx_6qawtMGysU/edit?usp=sharing"",""สบก!CP20"")"),0)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IFERROR(__xludf.DUMMYFUNCTION("IMPORTRANGE(""https://docs.google.com/spreadsheets/d/1Yj_ptqi66GCucihVvJfMjLAmec39IyEx_6qawtMGysU/edit?usp=sharing"",""สบก!CQ20"")"),0)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IFERROR(__xludf.DUMMYFUNCTION("IMPORTRANGE(""https://docs.google.com/spreadsheets/d/1Yj_ptqi66GCucihVvJfMjLAmec39IyEx_6qawtMGysU/edit?usp=sharing"",""สบก!CR20"")"),0)</f>
        <v>0</v>
      </c>
      <c r="M298" s="103"/>
      <c r="N298" s="93">
        <f ca="1">IFERROR(__xludf.DUMMYFUNCTION("IMPORTRANGE(""https://docs.google.com/spreadsheets/d/1Yj_ptqi66GCucihVvJfMjLAmec39IyEx_6qawtMGysU/edit?usp=sharing"",""สบก!CV20"")"),0)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IFERROR(__xludf.DUMMYFUNCTION("IMPORTRANGE(""https://docs.google.com/spreadsheets/d/11923uPwbBZFjjGgGUA6NLw09EwE0CqkOc4q9oUmW1yo/edit?usp=sharing"",""กำแพงเพชร!J205"")"),0)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IFERROR(__xludf.DUMMYFUNCTION("IMPORTRANGE(""https://docs.google.com/spreadsheets/d/11923uPwbBZFjjGgGUA6NLw09EwE0CqkOc4q9oUmW1yo/edit?usp=sharing"",""กำแพงเพชร!J206"")"),0)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IFERROR(__xludf.DUMMYFUNCTION("IMPORTRANGE(""https://docs.google.com/spreadsheets/d/11923uPwbBZFjjGgGUA6NLw09EwE0CqkOc4q9oUmW1yo/edit?usp=sharing"",""กำแพงเพชร!J207"")"),0)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IFERROR(__xludf.DUMMYFUNCTION("IMPORTRANGE(""https://docs.google.com/spreadsheets/d/11923uPwbBZFjjGgGUA6NLw09EwE0CqkOc4q9oUmW1yo/edit?usp=sharing"",""กำแพงเพชร!J208"")"),0)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IFERROR(__xludf.DUMMYFUNCTION("IMPORTRANGE(""https://docs.google.com/spreadsheets/d/11923uPwbBZFjjGgGUA6NLw09EwE0CqkOc4q9oUmW1yo/edit?usp=sharing"",""กำแพงเพชร!I209"")"),0)</f>
        <v>0</v>
      </c>
      <c r="J304" s="213">
        <f ca="1">IFERROR(__xludf.DUMMYFUNCTION("IMPORTRANGE(""https://docs.google.com/spreadsheets/d/11923uPwbBZFjjGgGUA6NLw09EwE0CqkOc4q9oUmW1yo/edit?usp=sharing"",""กำแพงเพชร!J209"")"),0)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IFERROR(__xludf.DUMMYFUNCTION("IMPORTRANGE(""https://docs.google.com/spreadsheets/d/11923uPwbBZFjjGgGUA6NLw09EwE0CqkOc4q9oUmW1yo/edit?usp=sharing"",""กำแพงเพชร!I211"")"),0)</f>
        <v>0</v>
      </c>
      <c r="J306" s="213">
        <f ca="1">IFERROR(__xludf.DUMMYFUNCTION("IMPORTRANGE(""https://docs.google.com/spreadsheets/d/11923uPwbBZFjjGgGUA6NLw09EwE0CqkOc4q9oUmW1yo/edit?usp=sharing"",""กำแพงเพชร!J211"")"),0)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IFERROR(__xludf.DUMMYFUNCTION("IMPORTRANGE(""https://docs.google.com/spreadsheets/d/11923uPwbBZFjjGgGUA6NLw09EwE0CqkOc4q9oUmW1yo/edit?usp=sharing"",""กำแพงเพชร!J212"")"),0)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IFERROR(__xludf.DUMMYFUNCTION("IMPORTRANGE(""https://docs.google.com/spreadsheets/d/11923uPwbBZFjjGgGUA6NLw09EwE0CqkOc4q9oUmW1yo/edit?usp=sharing"",""กำแพงเพชร!J213"")"),0)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IFERROR(__xludf.DUMMYFUNCTION("IMPORTRANGE(""https://docs.google.com/spreadsheets/d/11923uPwbBZFjjGgGUA6NLw09EwE0CqkOc4q9oUmW1yo/edit?usp=sharing"",""กำแพงเพชร!I214"")"),1)</f>
        <v>1</v>
      </c>
      <c r="J309" s="341">
        <f ca="1">IFERROR(__xludf.DUMMYFUNCTION("IMPORTRANGE(""https://docs.google.com/spreadsheets/d/11923uPwbBZFjjGgGUA6NLw09EwE0CqkOc4q9oUmW1yo/edit?usp=sharing"",""กำแพงเพชร!J214"")"),1)</f>
        <v>1</v>
      </c>
      <c r="K309" s="342">
        <f ca="1">IF(I309&gt;0,J309*100/I309,0)</f>
        <v>100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194600</v>
      </c>
      <c r="M310" s="158">
        <f t="shared" ca="1" si="93"/>
        <v>97300</v>
      </c>
      <c r="N310" s="158">
        <f t="shared" ca="1" si="93"/>
        <v>36164</v>
      </c>
      <c r="O310" s="157">
        <f t="shared" ref="O310:O312" ca="1" si="94">IF(L310&gt;0,N310*100/L310,0)</f>
        <v>18.583761562178829</v>
      </c>
      <c r="P310" s="157">
        <f t="shared" ref="P310:P312" ca="1" si="95">IF(M310&gt;0,N310*100/M310,0)</f>
        <v>37.167523124357658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194600</v>
      </c>
      <c r="M312" s="163">
        <f t="shared" ca="1" si="97"/>
        <v>97300</v>
      </c>
      <c r="N312" s="163">
        <f t="shared" ca="1" si="97"/>
        <v>36164</v>
      </c>
      <c r="O312" s="162">
        <f t="shared" ca="1" si="94"/>
        <v>18.583761562178829</v>
      </c>
      <c r="P312" s="162">
        <f t="shared" ca="1" si="95"/>
        <v>37.167523124357658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194600</v>
      </c>
      <c r="M314" s="176">
        <f ca="1">IFERROR(__xludf.DUMMYFUNCTION("IMPORTRANGE(""https://docs.google.com/spreadsheets/d/1Yj_ptqi66GCucihVvJfMjLAmec39IyEx_6qawtMGysU/edit?usp=sharing"",""สบก!DC20"")"),97300)</f>
        <v>97300</v>
      </c>
      <c r="N314" s="177">
        <f ca="1">IFERROR(__xludf.DUMMYFUNCTION("IMPORTRANGE(""https://docs.google.com/spreadsheets/d/1Yj_ptqi66GCucihVvJfMjLAmec39IyEx_6qawtMGysU/edit?usp=sharing"",""สบก!DD20"")"),36164)</f>
        <v>36164</v>
      </c>
      <c r="O314" s="178">
        <f ca="1">IF(L314&gt;0,N314*100/L314,0)</f>
        <v>18.583761562178829</v>
      </c>
      <c r="P314" s="178">
        <f ca="1">IF(M314&gt;0,N314*100/M314,0)</f>
        <v>37.167523124357658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IFERROR(__xludf.DUMMYFUNCTION("IMPORTRANGE(""https://docs.google.com/spreadsheets/d/1Yj_ptqi66GCucihVvJfMjLAmec39IyEx_6qawtMGysU/edit?usp=sharing"",""สบก!CY20"")"),0)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IFERROR(__xludf.DUMMYFUNCTION("IMPORTRANGE(""https://docs.google.com/spreadsheets/d/1Yj_ptqi66GCucihVvJfMjLAmec39IyEx_6qawtMGysU/edit?usp=sharing"",""สบก!CZ20"")"),194600)</f>
        <v>194600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IFERROR(__xludf.DUMMYFUNCTION("IMPORTRANGE(""https://docs.google.com/spreadsheets/d/1Yj_ptqi66GCucihVvJfMjLAmec39IyEx_6qawtMGysU/edit?usp=sharing"",""สบก!DA20"")"),0)</f>
        <v>0</v>
      </c>
      <c r="M318" s="103"/>
      <c r="N318" s="93">
        <f ca="1">IFERROR(__xludf.DUMMYFUNCTION("IMPORTRANGE(""https://docs.google.com/spreadsheets/d/1Yj_ptqi66GCucihVvJfMjLAmec39IyEx_6qawtMGysU/edit?usp=sharing"",""สบก!DE20"")"),0)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IFERROR(__xludf.DUMMYFUNCTION("IMPORTRANGE(""https://docs.google.com/spreadsheets/d/11923uPwbBZFjjGgGUA6NLw09EwE0CqkOc4q9oUmW1yo/edit?usp=sharing"",""กำแพงเพชร!J220"")"),0)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IFERROR(__xludf.DUMMYFUNCTION("IMPORTRANGE(""https://docs.google.com/spreadsheets/d/11923uPwbBZFjjGgGUA6NLw09EwE0CqkOc4q9oUmW1yo/edit?usp=sharing"",""กำแพงเพชร!J221"")"),1)</f>
        <v>1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IFERROR(__xludf.DUMMYFUNCTION("IMPORTRANGE(""https://docs.google.com/spreadsheets/d/11923uPwbBZFjjGgGUA6NLw09EwE0CqkOc4q9oUmW1yo/edit?usp=sharing"",""กำแพงเพชร!J222"")"),0)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IFERROR(__xludf.DUMMYFUNCTION("IMPORTRANGE(""https://docs.google.com/spreadsheets/d/11923uPwbBZFjjGgGUA6NLw09EwE0CqkOc4q9oUmW1yo/edit?usp=sharing"",""กำแพงเพชร!J223"")"),1)</f>
        <v>1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IFERROR(__xludf.DUMMYFUNCTION("IMPORTRANGE(""https://docs.google.com/spreadsheets/d/11923uPwbBZFjjGgGUA6NLw09EwE0CqkOc4q9oUmW1yo/edit?usp=sharing"",""กำแพงเพชร!I224"")"),1)</f>
        <v>1</v>
      </c>
      <c r="J324" s="213">
        <f ca="1">IFERROR(__xludf.DUMMYFUNCTION("IMPORTRANGE(""https://docs.google.com/spreadsheets/d/11923uPwbBZFjjGgGUA6NLw09EwE0CqkOc4q9oUmW1yo/edit?usp=sharing"",""กำแพงเพชร!J224"")"),1)</f>
        <v>1</v>
      </c>
      <c r="K324" s="233">
        <f ca="1">IF(I324&gt;0,J324*100/I324,0)</f>
        <v>100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IFERROR(__xludf.DUMMYFUNCTION("IMPORTRANGE(""https://docs.google.com/spreadsheets/d/11923uPwbBZFjjGgGUA6NLw09EwE0CqkOc4q9oUmW1yo/edit?usp=sharing"",""กำแพงเพชร!J225"")"),0)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IFERROR(__xludf.DUMMYFUNCTION("IMPORTRANGE(""https://docs.google.com/spreadsheets/d/11923uPwbBZFjjGgGUA6NLw09EwE0CqkOc4q9oUmW1yo/edit?usp=sharing"",""กำแพงเพชร!J226"")"),0)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IFERROR(__xludf.DUMMYFUNCTION("IMPORTRANGE(""https://docs.google.com/spreadsheets/d/11923uPwbBZFjjGgGUA6NLw09EwE0CqkOc4q9oUmW1yo/edit?usp=sharing"",""กำแพงเพชร!I228"")"),943)</f>
        <v>943</v>
      </c>
      <c r="J328" s="347">
        <f ca="1">IFERROR(__xludf.DUMMYFUNCTION("IMPORTRANGE(""https://docs.google.com/spreadsheets/d/11923uPwbBZFjjGgGUA6NLw09EwE0CqkOc4q9oUmW1yo/edit?usp=sharing"",""กำแพงเพชร!J228"")"),0)</f>
        <v>0</v>
      </c>
      <c r="K328" s="325">
        <f ca="1">IF(I328&gt;0,J328*100/I328,0)</f>
        <v>0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1961030</v>
      </c>
      <c r="M329" s="158">
        <f t="shared" ca="1" si="98"/>
        <v>1117030</v>
      </c>
      <c r="N329" s="158">
        <f t="shared" ca="1" si="98"/>
        <v>641570</v>
      </c>
      <c r="O329" s="157">
        <f t="shared" ref="O329:O331" ca="1" si="99">IF(L329&gt;0,N329*100/L329,0)</f>
        <v>32.715970688872687</v>
      </c>
      <c r="P329" s="157">
        <f t="shared" ref="P329:P331" ca="1" si="100">IF(M329&gt;0,N329*100/M329,0)</f>
        <v>57.435341933520135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1961030</v>
      </c>
      <c r="M331" s="163">
        <f t="shared" ca="1" si="102"/>
        <v>1117030</v>
      </c>
      <c r="N331" s="163">
        <f t="shared" ca="1" si="102"/>
        <v>641570</v>
      </c>
      <c r="O331" s="162">
        <f t="shared" ca="1" si="99"/>
        <v>32.715970688872687</v>
      </c>
      <c r="P331" s="162">
        <f t="shared" ca="1" si="100"/>
        <v>57.435341933520135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1961030</v>
      </c>
      <c r="M333" s="176">
        <f ca="1">IFERROR(__xludf.DUMMYFUNCTION("IMPORTRANGE(""https://docs.google.com/spreadsheets/d/1Yj_ptqi66GCucihVvJfMjLAmec39IyEx_6qawtMGysU/edit?usp=sharing"",""สบก!DL20"")"),1117030)</f>
        <v>1117030</v>
      </c>
      <c r="N333" s="177">
        <f ca="1">IFERROR(__xludf.DUMMYFUNCTION("IMPORTRANGE(""https://docs.google.com/spreadsheets/d/1Yj_ptqi66GCucihVvJfMjLAmec39IyEx_6qawtMGysU/edit?usp=sharing"",""สบก!DM20"")"),641570)</f>
        <v>641570</v>
      </c>
      <c r="O333" s="178">
        <f ca="1">IF(L333&gt;0,N333*100/L333,0)</f>
        <v>32.715970688872687</v>
      </c>
      <c r="P333" s="178">
        <f ca="1">IF(M333&gt;0,N333*100/M333,0)</f>
        <v>57.435341933520135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IFERROR(__xludf.DUMMYFUNCTION("IMPORTRANGE(""https://docs.google.com/spreadsheets/d/1Yj_ptqi66GCucihVvJfMjLAmec39IyEx_6qawtMGysU/edit?usp=sharing"",""สบก!DH20"")"),607100)</f>
        <v>607100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IFERROR(__xludf.DUMMYFUNCTION("IMPORTRANGE(""https://docs.google.com/spreadsheets/d/1Yj_ptqi66GCucihVvJfMjLAmec39IyEx_6qawtMGysU/edit?usp=sharing"",""สบก!DI20"")"),1353930)</f>
        <v>1353930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IFERROR(__xludf.DUMMYFUNCTION("IMPORTRANGE(""https://docs.google.com/spreadsheets/d/1Yj_ptqi66GCucihVvJfMjLAmec39IyEx_6qawtMGysU/edit?usp=sharing"",""สบก!DJ20"")"),0)</f>
        <v>0</v>
      </c>
      <c r="M337" s="103"/>
      <c r="N337" s="93">
        <f ca="1">IFERROR(__xludf.DUMMYFUNCTION("IMPORTRANGE(""https://docs.google.com/spreadsheets/d/1Yj_ptqi66GCucihVvJfMjLAmec39IyEx_6qawtMGysU/edit?usp=sharing"",""สบก!DN20"")"),0)</f>
        <v>0</v>
      </c>
      <c r="O337" s="103">
        <f ca="1">IF(L337&gt;0,N337*100/L337,0)</f>
        <v>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IFERROR(__xludf.DUMMYFUNCTION("IMPORTRANGE(""https://docs.google.com/spreadsheets/d/11923uPwbBZFjjGgGUA6NLw09EwE0CqkOc4q9oUmW1yo/edit?usp=sharing"",""กำแพงเพชร!I234"")"),0)</f>
        <v>0</v>
      </c>
      <c r="J339" s="197">
        <f ca="1">IFERROR(__xludf.DUMMYFUNCTION("IMPORTRANGE(""https://docs.google.com/spreadsheets/d/11923uPwbBZFjjGgGUA6NLw09EwE0CqkOc4q9oUmW1yo/edit?usp=sharing"",""กำแพงเพชร!J234"")"),152)</f>
        <v>152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IFERROR(__xludf.DUMMYFUNCTION("IMPORTRANGE(""https://docs.google.com/spreadsheets/d/11923uPwbBZFjjGgGUA6NLw09EwE0CqkOc4q9oUmW1yo/edit?usp=sharing"",""กำแพงเพชร!I235"")"),8400)</f>
        <v>8400</v>
      </c>
      <c r="J340" s="197">
        <f ca="1">IFERROR(__xludf.DUMMYFUNCTION("IMPORTRANGE(""https://docs.google.com/spreadsheets/d/11923uPwbBZFjjGgGUA6NLw09EwE0CqkOc4q9oUmW1yo/edit?usp=sharing"",""กำแพงเพชร!J235"")"),1449.24)</f>
        <v>1449.24</v>
      </c>
      <c r="K340" s="350">
        <f t="shared" ca="1" si="103"/>
        <v>17.252857142857142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IFERROR(__xludf.DUMMYFUNCTION("IMPORTRANGE(""https://docs.google.com/spreadsheets/d/11923uPwbBZFjjGgGUA6NLw09EwE0CqkOc4q9oUmW1yo/edit?usp=sharing"",""กำแพงเพชร!I236"")"),943)</f>
        <v>943</v>
      </c>
      <c r="J341" s="197">
        <f ca="1">IFERROR(__xludf.DUMMYFUNCTION("IMPORTRANGE(""https://docs.google.com/spreadsheets/d/11923uPwbBZFjjGgGUA6NLw09EwE0CqkOc4q9oUmW1yo/edit?usp=sharing"",""กำแพงเพชร!J236"")"),113)</f>
        <v>113</v>
      </c>
      <c r="K341" s="350">
        <f t="shared" ca="1" si="103"/>
        <v>11.983032873807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IFERROR(__xludf.DUMMYFUNCTION("IMPORTRANGE(""https://docs.google.com/spreadsheets/d/11923uPwbBZFjjGgGUA6NLw09EwE0CqkOc4q9oUmW1yo/edit?usp=sharing"",""กำแพงเพชร!I237"")"),0)</f>
        <v>0</v>
      </c>
      <c r="J342" s="197">
        <f ca="1">IFERROR(__xludf.DUMMYFUNCTION("IMPORTRANGE(""https://docs.google.com/spreadsheets/d/11923uPwbBZFjjGgGUA6NLw09EwE0CqkOc4q9oUmW1yo/edit?usp=sharing"",""กำแพงเพชร!J237"")"),1744.74)</f>
        <v>1744.74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IFERROR(__xludf.DUMMYFUNCTION("IMPORTRANGE(""https://docs.google.com/spreadsheets/d/11923uPwbBZFjjGgGUA6NLw09EwE0CqkOc4q9oUmW1yo/edit?usp=sharing"",""กำแพงเพชร!I238"")"),943)</f>
        <v>943</v>
      </c>
      <c r="J343" s="197">
        <f ca="1">IFERROR(__xludf.DUMMYFUNCTION("IMPORTRANGE(""https://docs.google.com/spreadsheets/d/11923uPwbBZFjjGgGUA6NLw09EwE0CqkOc4q9oUmW1yo/edit?usp=sharing"",""กำแพงเพชร!J238"")"),0)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IFERROR(__xludf.DUMMYFUNCTION("IMPORTRANGE(""https://docs.google.com/spreadsheets/d/11923uPwbBZFjjGgGUA6NLw09EwE0CqkOc4q9oUmW1yo/edit?usp=sharing"",""กำแพงเพชร!I239"")"),0)</f>
        <v>0</v>
      </c>
      <c r="J344" s="197">
        <f ca="1">IFERROR(__xludf.DUMMYFUNCTION("IMPORTRANGE(""https://docs.google.com/spreadsheets/d/11923uPwbBZFjjGgGUA6NLw09EwE0CqkOc4q9oUmW1yo/edit?usp=sharing"",""กำแพงเพชร!J239"")"),0)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IFERROR(__xludf.DUMMYFUNCTION("IMPORTRANGE(""https://docs.google.com/spreadsheets/d/11923uPwbBZFjjGgGUA6NLw09EwE0CqkOc4q9oUmW1yo/edit?usp=sharing"",""กำแพงเพชร!I240"")"),943)</f>
        <v>943</v>
      </c>
      <c r="J345" s="197">
        <f ca="1">IFERROR(__xludf.DUMMYFUNCTION("IMPORTRANGE(""https://docs.google.com/spreadsheets/d/11923uPwbBZFjjGgGUA6NLw09EwE0CqkOc4q9oUmW1yo/edit?usp=sharing"",""กำแพงเพชร!J240"")"),0)</f>
        <v>0</v>
      </c>
      <c r="K345" s="350">
        <f t="shared" ca="1" si="103"/>
        <v>0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IFERROR(__xludf.DUMMYFUNCTION("IMPORTRANGE(""https://docs.google.com/spreadsheets/d/11923uPwbBZFjjGgGUA6NLw09EwE0CqkOc4q9oUmW1yo/edit?usp=sharing"",""กำแพงเพชร!I241"")"),0)</f>
        <v>0</v>
      </c>
      <c r="J346" s="197">
        <f ca="1">IFERROR(__xludf.DUMMYFUNCTION("IMPORTRANGE(""https://docs.google.com/spreadsheets/d/11923uPwbBZFjjGgGUA6NLw09EwE0CqkOc4q9oUmW1yo/edit?usp=sharing"",""กำแพงเพชร!J241"")"),0)</f>
        <v>0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IFERROR(__xludf.DUMMYFUNCTION("IMPORTRANGE(""https://docs.google.com/spreadsheets/d/11923uPwbBZFjjGgGUA6NLw09EwE0CqkOc4q9oUmW1yo/edit?usp=sharing"",""กำแพงเพชร!L242"")"),3331736)</f>
        <v>3331736</v>
      </c>
      <c r="M347" s="366"/>
      <c r="N347" s="366">
        <f ca="1">IFERROR(__xludf.DUMMYFUNCTION("IMPORTRANGE(""https://docs.google.com/spreadsheets/d/11923uPwbBZFjjGgGUA6NLw09EwE0CqkOc4q9oUmW1yo/edit?usp=sharing"",""กำแพงเพชร!M242"")"),285393.67)</f>
        <v>285393.67</v>
      </c>
      <c r="O347" s="366">
        <f ca="1">+IF(L347&gt;0,N347*100/L347,0)</f>
        <v>8.5659148864135695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IFERROR(__xludf.DUMMYFUNCTION("IMPORTRANGE(""https://docs.google.com/spreadsheets/d/11923uPwbBZFjjGgGUA6NLw09EwE0CqkOc4q9oUmW1yo/edit?usp=sharing"",""กำแพงเพชร!I244"")"),0)</f>
        <v>0</v>
      </c>
      <c r="J349" s="379">
        <f ca="1">IFERROR(__xludf.DUMMYFUNCTION("IMPORTRANGE(""https://docs.google.com/spreadsheets/d/11923uPwbBZFjjGgGUA6NLw09EwE0CqkOc4q9oUmW1yo/edit?usp=sharing"",""กำแพงเพชร!J244"")"),0)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IFERROR(__xludf.DUMMYFUNCTION("IMPORTRANGE(""https://docs.google.com/spreadsheets/d/11923uPwbBZFjjGgGUA6NLw09EwE0CqkOc4q9oUmW1yo/edit?usp=sharing"",""กำแพงเพชร!L244"")"),0)</f>
        <v>0</v>
      </c>
      <c r="M349" s="381"/>
      <c r="N349" s="381">
        <f ca="1">IFERROR(__xludf.DUMMYFUNCTION("IMPORTRANGE(""https://docs.google.com/spreadsheets/d/11923uPwbBZFjjGgGUA6NLw09EwE0CqkOc4q9oUmW1yo/edit?usp=sharing"",""กำแพงเพชร!M244"")"),0)</f>
        <v>0</v>
      </c>
      <c r="O349" s="381">
        <f ca="1">+IF(L349&gt;0,N349*100/L349,0)</f>
        <v>0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IFERROR(__xludf.DUMMYFUNCTION("IMPORTRANGE(""https://docs.google.com/spreadsheets/d/11923uPwbBZFjjGgGUA6NLw09EwE0CqkOc4q9oUmW1yo/edit?usp=sharing"",""กำแพงเพชร!I245"")"),0)</f>
        <v>0</v>
      </c>
      <c r="J350" s="379">
        <f ca="1">IFERROR(__xludf.DUMMYFUNCTION("IMPORTRANGE(""https://docs.google.com/spreadsheets/d/11923uPwbBZFjjGgGUA6NLw09EwE0CqkOc4q9oUmW1yo/edit?usp=sharing"",""กำแพงเพชร!J245"")"),0)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IFERROR(__xludf.DUMMYFUNCTION("IMPORTRANGE(""https://docs.google.com/spreadsheets/d/11923uPwbBZFjjGgGUA6NLw09EwE0CqkOc4q9oUmW1yo/edit?usp=sharing"",""กำแพงเพชร!L246"")"),0)</f>
        <v>0</v>
      </c>
      <c r="M351" s="172"/>
      <c r="N351" s="172">
        <f ca="1">IFERROR(__xludf.DUMMYFUNCTION("IMPORTRANGE(""https://docs.google.com/spreadsheets/d/11923uPwbBZFjjGgGUA6NLw09EwE0CqkOc4q9oUmW1yo/edit?usp=sharing"",""กำแพงเพชร!M246"")"),0)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IFERROR(__xludf.DUMMYFUNCTION("IMPORTRANGE(""https://docs.google.com/spreadsheets/d/11923uPwbBZFjjGgGUA6NLw09EwE0CqkOc4q9oUmW1yo/edit?usp=sharing"",""กำแพงเพชร!L247"")"),0)</f>
        <v>0</v>
      </c>
      <c r="M352" s="173"/>
      <c r="N352" s="172">
        <f ca="1">IFERROR(__xludf.DUMMYFUNCTION("IMPORTRANGE(""https://docs.google.com/spreadsheets/d/11923uPwbBZFjjGgGUA6NLw09EwE0CqkOc4q9oUmW1yo/edit?usp=sharing"",""กำแพงเพชร!M247"")"),0)</f>
        <v>0</v>
      </c>
      <c r="O352" s="173">
        <f t="shared" ca="1" si="105"/>
        <v>0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IFERROR(__xludf.DUMMYFUNCTION("IMPORTRANGE(""https://docs.google.com/spreadsheets/d/11923uPwbBZFjjGgGUA6NLw09EwE0CqkOc4q9oUmW1yo/edit?usp=sharing"",""กำแพงเพชร!L248"")"),0)</f>
        <v>0</v>
      </c>
      <c r="M353" s="178"/>
      <c r="N353" s="178">
        <f ca="1">IFERROR(__xludf.DUMMYFUNCTION("IMPORTRANGE(""https://docs.google.com/spreadsheets/d/11923uPwbBZFjjGgGUA6NLw09EwE0CqkOc4q9oUmW1yo/edit?usp=sharing"",""กำแพงเพชร!M248"")"),0)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IFERROR(__xludf.DUMMYFUNCTION("IMPORTRANGE(""https://docs.google.com/spreadsheets/d/11923uPwbBZFjjGgGUA6NLw09EwE0CqkOc4q9oUmW1yo/edit?usp=sharing"",""กำแพงเพชร!L249"")"),0)</f>
        <v>0</v>
      </c>
      <c r="M354" s="178"/>
      <c r="N354" s="175">
        <f ca="1">IFERROR(__xludf.DUMMYFUNCTION("IMPORTRANGE(""https://docs.google.com/spreadsheets/d/11923uPwbBZFjjGgGUA6NLw09EwE0CqkOc4q9oUmW1yo/edit?usp=sharing"",""กำแพงเพชร!M249"")"),0)</f>
        <v>0</v>
      </c>
      <c r="O354" s="178">
        <f t="shared" ca="1" si="105"/>
        <v>0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IFERROR(__xludf.DUMMYFUNCTION("IMPORTRANGE(""https://docs.google.com/spreadsheets/d/11923uPwbBZFjjGgGUA6NLw09EwE0CqkOc4q9oUmW1yo/edit?usp=sharing"",""กำแพงเพชร!M250"")"),0)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IFERROR(__xludf.DUMMYFUNCTION("IMPORTRANGE(""https://docs.google.com/spreadsheets/d/11923uPwbBZFjjGgGUA6NLw09EwE0CqkOc4q9oUmW1yo/edit?usp=sharing"",""กำแพงเพชร!M251"")"),0)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IFERROR(__xludf.DUMMYFUNCTION("IMPORTRANGE(""https://docs.google.com/spreadsheets/d/11923uPwbBZFjjGgGUA6NLw09EwE0CqkOc4q9oUmW1yo/edit?usp=sharing"",""กำแพงเพชร!M252"")"),0)</f>
        <v>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IFERROR(__xludf.DUMMYFUNCTION("IMPORTRANGE(""https://docs.google.com/spreadsheets/d/11923uPwbBZFjjGgGUA6NLw09EwE0CqkOc4q9oUmW1yo/edit?usp=sharing"",""กำแพงเพชร!M253"")"),0)</f>
        <v>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IFERROR(__xludf.DUMMYFUNCTION("IMPORTRANGE(""https://docs.google.com/spreadsheets/d/11923uPwbBZFjjGgGUA6NLw09EwE0CqkOc4q9oUmW1yo/edit?usp=sharing"",""กำแพงเพชร!J255"")"),0)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IFERROR(__xludf.DUMMYFUNCTION("IMPORTRANGE(""https://docs.google.com/spreadsheets/d/11923uPwbBZFjjGgGUA6NLw09EwE0CqkOc4q9oUmW1yo/edit?usp=sharing"",""กำแพงเพชร!J256"")"),0)</f>
        <v>0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IFERROR(__xludf.DUMMYFUNCTION("IMPORTRANGE(""https://docs.google.com/spreadsheets/d/11923uPwbBZFjjGgGUA6NLw09EwE0CqkOc4q9oUmW1yo/edit?usp=sharing"",""กำแพงเพชร!J257"")"),0)</f>
        <v>0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IFERROR(__xludf.DUMMYFUNCTION("IMPORTRANGE(""https://docs.google.com/spreadsheets/d/11923uPwbBZFjjGgGUA6NLw09EwE0CqkOc4q9oUmW1yo/edit?usp=sharing"",""กำแพงเพชร!J258"")"),0)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IFERROR(__xludf.DUMMYFUNCTION("IMPORTRANGE(""https://docs.google.com/spreadsheets/d/11923uPwbBZFjjGgGUA6NLw09EwE0CqkOc4q9oUmW1yo/edit?usp=sharing"",""กำแพงเพชร!J166"")"),0)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IFERROR(__xludf.DUMMYFUNCTION("IMPORTRANGE(""https://docs.google.com/spreadsheets/d/11923uPwbBZFjjGgGUA6NLw09EwE0CqkOc4q9oUmW1yo/edit?usp=sharing"",""กำแพงเพชร!J166"")"),0)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IFERROR(__xludf.DUMMYFUNCTION("IMPORTRANGE(""https://docs.google.com/spreadsheets/d/11923uPwbBZFjjGgGUA6NLw09EwE0CqkOc4q9oUmW1yo/edit?usp=sharing"",""กำแพงเพชร!J166"")"),0)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IFERROR(__xludf.DUMMYFUNCTION("IMPORTRANGE(""https://docs.google.com/spreadsheets/d/11923uPwbBZFjjGgGUA6NLw09EwE0CqkOc4q9oUmW1yo/edit?usp=sharing"",""กำแพงเพชร!J166"")"),0)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IFERROR(__xludf.DUMMYFUNCTION("IMPORTRANGE(""https://docs.google.com/spreadsheets/d/11923uPwbBZFjjGgGUA6NLw09EwE0CqkOc4q9oUmW1yo/edit?usp=sharing"",""กำแพงเพชร!I263"")"),0)</f>
        <v>0</v>
      </c>
      <c r="J368" s="197">
        <f ca="1">IFERROR(__xludf.DUMMYFUNCTION("IMPORTRANGE(""https://docs.google.com/spreadsheets/d/11923uPwbBZFjjGgGUA6NLw09EwE0CqkOc4q9oUmW1yo/edit?usp=sharing"",""กำแพงเพชร!J263"")"),0)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IFERROR(__xludf.DUMMYFUNCTION("IMPORTRANGE(""https://docs.google.com/spreadsheets/d/11923uPwbBZFjjGgGUA6NLw09EwE0CqkOc4q9oUmW1yo/edit?usp=sharing"",""กำแพงเพชร!I164"")"),0)</f>
        <v>0</v>
      </c>
      <c r="J369" s="213">
        <f ca="1">IFERROR(__xludf.DUMMYFUNCTION("IMPORTRANGE(""https://docs.google.com/spreadsheets/d/11923uPwbBZFjjGgGUA6NLw09EwE0CqkOc4q9oUmW1yo/edit?usp=sharing"",""กำแพงเพชร!J164"")"),0)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IFERROR(__xludf.DUMMYFUNCTION("IMPORTRANGE(""https://docs.google.com/spreadsheets/d/11923uPwbBZFjjGgGUA6NLw09EwE0CqkOc4q9oUmW1yo/edit?usp=sharing"",""กำแพงเพชร!I265"")"),0)</f>
        <v>0</v>
      </c>
      <c r="J370" s="213">
        <f ca="1">IFERROR(__xludf.DUMMYFUNCTION("IMPORTRANGE(""https://docs.google.com/spreadsheets/d/11923uPwbBZFjjGgGUA6NLw09EwE0CqkOc4q9oUmW1yo/edit?usp=sharing"",""กำแพงเพชร!J265"")"),0)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IFERROR(__xludf.DUMMYFUNCTION("IMPORTRANGE(""https://docs.google.com/spreadsheets/d/11923uPwbBZFjjGgGUA6NLw09EwE0CqkOc4q9oUmW1yo/edit?usp=sharing"",""กำแพงเพชร!I164"")"),0)</f>
        <v>0</v>
      </c>
      <c r="J371" s="198">
        <f ca="1">IFERROR(__xludf.DUMMYFUNCTION("IMPORTRANGE(""https://docs.google.com/spreadsheets/d/11923uPwbBZFjjGgGUA6NLw09EwE0CqkOc4q9oUmW1yo/edit?usp=sharing"",""กำแพงเพชร!J164"")"),0)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IFERROR(__xludf.DUMMYFUNCTION("IMPORTRANGE(""https://docs.google.com/spreadsheets/d/11923uPwbBZFjjGgGUA6NLw09EwE0CqkOc4q9oUmW1yo/edit?usp=sharing"",""กำแพงเพชร!I267"")"),0)</f>
        <v>0</v>
      </c>
      <c r="J372" s="198">
        <f ca="1">IFERROR(__xludf.DUMMYFUNCTION("IMPORTRANGE(""https://docs.google.com/spreadsheets/d/11923uPwbBZFjjGgGUA6NLw09EwE0CqkOc4q9oUmW1yo/edit?usp=sharing"",""กำแพงเพชร!J267"")"),0)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IFERROR(__xludf.DUMMYFUNCTION("IMPORTRANGE(""https://docs.google.com/spreadsheets/d/11923uPwbBZFjjGgGUA6NLw09EwE0CqkOc4q9oUmW1yo/edit?usp=sharing"",""กำแพงเพชร!I164"")"),0)</f>
        <v>0</v>
      </c>
      <c r="J373" s="213">
        <f ca="1">IFERROR(__xludf.DUMMYFUNCTION("IMPORTRANGE(""https://docs.google.com/spreadsheets/d/11923uPwbBZFjjGgGUA6NLw09EwE0CqkOc4q9oUmW1yo/edit?usp=sharing"",""กำแพงเพชร!J164"")"),0)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IFERROR(__xludf.DUMMYFUNCTION("IMPORTRANGE(""https://docs.google.com/spreadsheets/d/11923uPwbBZFjjGgGUA6NLw09EwE0CqkOc4q9oUmW1yo/edit?usp=sharing"",""กำแพงเพชร!I164"")"),0)</f>
        <v>0</v>
      </c>
      <c r="J374" s="197">
        <f ca="1">IFERROR(__xludf.DUMMYFUNCTION("IMPORTRANGE(""https://docs.google.com/spreadsheets/d/11923uPwbBZFjjGgGUA6NLw09EwE0CqkOc4q9oUmW1yo/edit?usp=sharing"",""กำแพงเพชร!J164"")"),0)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IFERROR(__xludf.DUMMYFUNCTION("IMPORTRANGE(""https://docs.google.com/spreadsheets/d/11923uPwbBZFjjGgGUA6NLw09EwE0CqkOc4q9oUmW1yo/edit?usp=sharing"",""กำแพงเพชร!I270"")"),0)</f>
        <v>0</v>
      </c>
      <c r="J375" s="197">
        <f ca="1">IFERROR(__xludf.DUMMYFUNCTION("IMPORTRANGE(""https://docs.google.com/spreadsheets/d/11923uPwbBZFjjGgGUA6NLw09EwE0CqkOc4q9oUmW1yo/edit?usp=sharing"",""กำแพงเพชร!J270"")"),0)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IFERROR(__xludf.DUMMYFUNCTION("IMPORTRANGE(""https://docs.google.com/spreadsheets/d/11923uPwbBZFjjGgGUA6NLw09EwE0CqkOc4q9oUmW1yo/edit?usp=sharing"",""กำแพงเพชร!I271"")"),0)</f>
        <v>0</v>
      </c>
      <c r="J376" s="198">
        <f ca="1">IFERROR(__xludf.DUMMYFUNCTION("IMPORTRANGE(""https://docs.google.com/spreadsheets/d/11923uPwbBZFjjGgGUA6NLw09EwE0CqkOc4q9oUmW1yo/edit?usp=sharing"",""กำแพงเพชร!J271"")"),0)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IFERROR(__xludf.DUMMYFUNCTION("IMPORTRANGE(""https://docs.google.com/spreadsheets/d/11923uPwbBZFjjGgGUA6NLw09EwE0CqkOc4q9oUmW1yo/edit?usp=sharing"",""กำแพงเพชร!I272"")"),0)</f>
        <v>0</v>
      </c>
      <c r="J377" s="213">
        <f ca="1">IFERROR(__xludf.DUMMYFUNCTION("IMPORTRANGE(""https://docs.google.com/spreadsheets/d/11923uPwbBZFjjGgGUA6NLw09EwE0CqkOc4q9oUmW1yo/edit?usp=sharing"",""กำแพงเพชร!J272"")"),0)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IFERROR(__xludf.DUMMYFUNCTION("IMPORTRANGE(""https://docs.google.com/spreadsheets/d/11923uPwbBZFjjGgGUA6NLw09EwE0CqkOc4q9oUmW1yo/edit?usp=sharing"",""กำแพงเพชร!J273"")"),0)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IFERROR(__xludf.DUMMYFUNCTION("IMPORTRANGE(""https://docs.google.com/spreadsheets/d/11923uPwbBZFjjGgGUA6NLw09EwE0CqkOc4q9oUmW1yo/edit?usp=sharing"",""กำแพงเพชร!J274"")"),0)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IFERROR(__xludf.DUMMYFUNCTION("IMPORTRANGE(""https://docs.google.com/spreadsheets/d/11923uPwbBZFjjGgGUA6NLw09EwE0CqkOc4q9oUmW1yo/edit?usp=sharing"",""กำแพงเพชร!I275"")"),1000)</f>
        <v>1000</v>
      </c>
      <c r="J380" s="379">
        <f ca="1">IFERROR(__xludf.DUMMYFUNCTION("IMPORTRANGE(""https://docs.google.com/spreadsheets/d/11923uPwbBZFjjGgGUA6NLw09EwE0CqkOc4q9oUmW1yo/edit?usp=sharing"",""กำแพงเพชร!J275"")"),0)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IFERROR(__xludf.DUMMYFUNCTION("IMPORTRANGE(""https://docs.google.com/spreadsheets/d/11923uPwbBZFjjGgGUA6NLw09EwE0CqkOc4q9oUmW1yo/edit?usp=sharing"",""กำแพงเพชร!L275"")"),1028520)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IFERROR(__xludf.DUMMYFUNCTION("IMPORTRANGE(""https://docs.google.com/spreadsheets/d/11923uPwbBZFjjGgGUA6NLw09EwE0CqkOc4q9oUmW1yo/edit?usp=sharing"",""กำแพงเพชร!M275"")"),140232)</f>
        <v>140232</v>
      </c>
      <c r="O380" s="381">
        <f ca="1">+IF(L380&gt;0,N380*100/L380,0)</f>
        <v>13.634348384085872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IFERROR(__xludf.DUMMYFUNCTION("IMPORTRANGE(""https://docs.google.com/spreadsheets/d/11923uPwbBZFjjGgGUA6NLw09EwE0CqkOc4q9oUmW1yo/edit?usp=sharing"",""กำแพงเพชร!I276"")"),100)</f>
        <v>100</v>
      </c>
      <c r="J381" s="379">
        <f ca="1">IFERROR(__xludf.DUMMYFUNCTION("IMPORTRANGE(""https://docs.google.com/spreadsheets/d/11923uPwbBZFjjGgGUA6NLw09EwE0CqkOc4q9oUmW1yo/edit?usp=sharing"",""กำแพงเพชร!J276"")"),100)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IFERROR(__xludf.DUMMYFUNCTION("IMPORTRANGE(""https://docs.google.com/spreadsheets/d/11923uPwbBZFjjGgGUA6NLw09EwE0CqkOc4q9oUmW1yo/edit?usp=sharing"",""กำแพงเพชร!L277"")"),0)</f>
        <v>0</v>
      </c>
      <c r="M382" s="172"/>
      <c r="N382" s="172">
        <f ca="1">IFERROR(__xludf.DUMMYFUNCTION("IMPORTRANGE(""https://docs.google.com/spreadsheets/d/11923uPwbBZFjjGgGUA6NLw09EwE0CqkOc4q9oUmW1yo/edit?usp=sharing"",""กำแพงเพชร!M277"")"),0)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IFERROR(__xludf.DUMMYFUNCTION("IMPORTRANGE(""https://docs.google.com/spreadsheets/d/11923uPwbBZFjjGgGUA6NLw09EwE0CqkOc4q9oUmW1yo/edit?usp=sharing"",""กำแพงเพชร!L278"")"),1028520)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IFERROR(__xludf.DUMMYFUNCTION("IMPORTRANGE(""https://docs.google.com/spreadsheets/d/11923uPwbBZFjjGgGUA6NLw09EwE0CqkOc4q9oUmW1yo/edit?usp=sharing"",""กำแพงเพชร!M278"")"),140232)</f>
        <v>140232</v>
      </c>
      <c r="O383" s="173">
        <f t="shared" ca="1" si="109"/>
        <v>13.634348384085872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IFERROR(__xludf.DUMMYFUNCTION("IMPORTRANGE(""https://docs.google.com/spreadsheets/d/11923uPwbBZFjjGgGUA6NLw09EwE0CqkOc4q9oUmW1yo/edit?usp=sharing"",""กำแพงเพชร!L279"")"),0)</f>
        <v>0</v>
      </c>
      <c r="M384" s="178"/>
      <c r="N384" s="178">
        <f ca="1">IFERROR(__xludf.DUMMYFUNCTION("IMPORTRANGE(""https://docs.google.com/spreadsheets/d/11923uPwbBZFjjGgGUA6NLw09EwE0CqkOc4q9oUmW1yo/edit?usp=sharing"",""กำแพงเพชร!M279"")"),0)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IFERROR(__xludf.DUMMYFUNCTION("IMPORTRANGE(""https://docs.google.com/spreadsheets/d/11923uPwbBZFjjGgGUA6NLw09EwE0CqkOc4q9oUmW1yo/edit?usp=sharing"",""กำแพงเพชร!L280"")"),1028520)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IFERROR(__xludf.DUMMYFUNCTION("IMPORTRANGE(""https://docs.google.com/spreadsheets/d/11923uPwbBZFjjGgGUA6NLw09EwE0CqkOc4q9oUmW1yo/edit?usp=sharing"",""กำแพงเพชร!M280"")"),140232)</f>
        <v>140232</v>
      </c>
      <c r="O385" s="178">
        <f t="shared" ca="1" si="109"/>
        <v>13.634348384085872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IFERROR(__xludf.DUMMYFUNCTION("IMPORTRANGE(""https://docs.google.com/spreadsheets/d/11923uPwbBZFjjGgGUA6NLw09EwE0CqkOc4q9oUmW1yo/edit?usp=sharing"",""กำแพงเพชร!M281"")"),105932)</f>
        <v>105932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IFERROR(__xludf.DUMMYFUNCTION("IMPORTRANGE(""https://docs.google.com/spreadsheets/d/11923uPwbBZFjjGgGUA6NLw09EwE0CqkOc4q9oUmW1yo/edit?usp=sharing"",""กำแพงเพชร!M282"")"),0)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IFERROR(__xludf.DUMMYFUNCTION("IMPORTRANGE(""https://docs.google.com/spreadsheets/d/11923uPwbBZFjjGgGUA6NLw09EwE0CqkOc4q9oUmW1yo/edit?usp=sharing"",""กำแพงเพชร!M283"")"),33000)</f>
        <v>33000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IFERROR(__xludf.DUMMYFUNCTION("IMPORTRANGE(""https://docs.google.com/spreadsheets/d/11923uPwbBZFjjGgGUA6NLw09EwE0CqkOc4q9oUmW1yo/edit?usp=sharing"",""กำแพงเพชร!M284"")"),1300)</f>
        <v>1300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IFERROR(__xludf.DUMMYFUNCTION("IMPORTRANGE(""https://docs.google.com/spreadsheets/d/11923uPwbBZFjjGgGUA6NLw09EwE0CqkOc4q9oUmW1yo/edit?usp=sharing"",""กำแพงเพชร!J286"")"),0)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IFERROR(__xludf.DUMMYFUNCTION("IMPORTRANGE(""https://docs.google.com/spreadsheets/d/11923uPwbBZFjjGgGUA6NLw09EwE0CqkOc4q9oUmW1yo/edit?usp=sharing"",""กำแพงเพชร!J287"")"),1)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IFERROR(__xludf.DUMMYFUNCTION("IMPORTRANGE(""https://docs.google.com/spreadsheets/d/11923uPwbBZFjjGgGUA6NLw09EwE0CqkOc4q9oUmW1yo/edit?usp=sharing"",""กำแพงเพชร!J288"")"),1)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IFERROR(__xludf.DUMMYFUNCTION("IMPORTRANGE(""https://docs.google.com/spreadsheets/d/11923uPwbBZFjjGgGUA6NLw09EwE0CqkOc4q9oUmW1yo/edit?usp=sharing"",""กำแพงเพชร!J289"")"),1)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IFERROR(__xludf.DUMMYFUNCTION("IMPORTRANGE(""https://docs.google.com/spreadsheets/d/11923uPwbBZFjjGgGUA6NLw09EwE0CqkOc4q9oUmW1yo/edit?usp=sharing"",""กำแพงเพชร!I291"")"),100)</f>
        <v>100</v>
      </c>
      <c r="J396" s="207">
        <f ca="1">IFERROR(__xludf.DUMMYFUNCTION("IMPORTRANGE(""https://docs.google.com/spreadsheets/d/11923uPwbBZFjjGgGUA6NLw09EwE0CqkOc4q9oUmW1yo/edit?usp=sharing"",""กำแพงเพชร!J291"")"),100)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IFERROR(__xludf.DUMMYFUNCTION("IMPORTRANGE(""https://docs.google.com/spreadsheets/d/11923uPwbBZFjjGgGUA6NLw09EwE0CqkOc4q9oUmW1yo/edit?usp=sharing"",""กำแพงเพชร!I292"")"),1000)</f>
        <v>1000</v>
      </c>
      <c r="J397" s="207">
        <f ca="1">IFERROR(__xludf.DUMMYFUNCTION("IMPORTRANGE(""https://docs.google.com/spreadsheets/d/11923uPwbBZFjjGgGUA6NLw09EwE0CqkOc4q9oUmW1yo/edit?usp=sharing"",""กำแพงเพชร!J292"")"),0)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IFERROR(__xludf.DUMMYFUNCTION("IMPORTRANGE(""https://docs.google.com/spreadsheets/d/11923uPwbBZFjjGgGUA6NLw09EwE0CqkOc4q9oUmW1yo/edit?usp=sharing"",""กำแพงเพชร!I293"")"),100)</f>
        <v>100</v>
      </c>
      <c r="J398" s="207">
        <f ca="1">IFERROR(__xludf.DUMMYFUNCTION("IMPORTRANGE(""https://docs.google.com/spreadsheets/d/11923uPwbBZFjjGgGUA6NLw09EwE0CqkOc4q9oUmW1yo/edit?usp=sharing"",""กำแพงเพชร!J293"")"),0)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IFERROR(__xludf.DUMMYFUNCTION("IMPORTRANGE(""https://docs.google.com/spreadsheets/d/11923uPwbBZFjjGgGUA6NLw09EwE0CqkOc4q9oUmW1yo/edit?usp=sharing"",""กำแพงเพชร!J294"")"),0)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IFERROR(__xludf.DUMMYFUNCTION("IMPORTRANGE(""https://docs.google.com/spreadsheets/d/11923uPwbBZFjjGgGUA6NLw09EwE0CqkOc4q9oUmW1yo/edit?usp=sharing"",""กำแพงเพชร!J295"")"),0)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IFERROR(__xludf.DUMMYFUNCTION("IMPORTRANGE(""https://docs.google.com/spreadsheets/d/11923uPwbBZFjjGgGUA6NLw09EwE0CqkOc4q9oUmW1yo/edit?usp=sharing"",""กำแพงเพชร!I296"")"),135)</f>
        <v>135</v>
      </c>
      <c r="J401" s="379">
        <f ca="1">IFERROR(__xludf.DUMMYFUNCTION("IMPORTRANGE(""https://docs.google.com/spreadsheets/d/11923uPwbBZFjjGgGUA6NLw09EwE0CqkOc4q9oUmW1yo/edit?usp=sharing"",""กำแพงเพชร!J296"")"),0)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IFERROR(__xludf.DUMMYFUNCTION("IMPORTRANGE(""https://docs.google.com/spreadsheets/d/11923uPwbBZFjjGgGUA6NLw09EwE0CqkOc4q9oUmW1yo/edit?usp=sharing"",""กำแพงเพชร!L296"")"),159950)</f>
        <v>159950</v>
      </c>
      <c r="M401" s="381"/>
      <c r="N401" s="381">
        <f ca="1">IFERROR(__xludf.DUMMYFUNCTION("IMPORTRANGE(""https://docs.google.com/spreadsheets/d/11923uPwbBZFjjGgGUA6NLw09EwE0CqkOc4q9oUmW1yo/edit?usp=sharing"",""กำแพงเพชร!M296"")"),0)</f>
        <v>0</v>
      </c>
      <c r="O401" s="381">
        <f ca="1">+IF(L401&gt;0,N401*100/L401,0)</f>
        <v>0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IFERROR(__xludf.DUMMYFUNCTION("IMPORTRANGE(""https://docs.google.com/spreadsheets/d/11923uPwbBZFjjGgGUA6NLw09EwE0CqkOc4q9oUmW1yo/edit?usp=sharing"",""กำแพงเพชร!I297"")"),45)</f>
        <v>45</v>
      </c>
      <c r="J402" s="379">
        <f ca="1">IFERROR(__xludf.DUMMYFUNCTION("IMPORTRANGE(""https://docs.google.com/spreadsheets/d/11923uPwbBZFjjGgGUA6NLw09EwE0CqkOc4q9oUmW1yo/edit?usp=sharing"",""กำแพงเพชร!J297"")"),0)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IFERROR(__xludf.DUMMYFUNCTION("IMPORTRANGE(""https://docs.google.com/spreadsheets/d/11923uPwbBZFjjGgGUA6NLw09EwE0CqkOc4q9oUmW1yo/edit?usp=sharing"",""กำแพงเพชร!L298"")"),0)</f>
        <v>0</v>
      </c>
      <c r="M403" s="172"/>
      <c r="N403" s="178">
        <f ca="1">IFERROR(__xludf.DUMMYFUNCTION("IMPORTRANGE(""https://docs.google.com/spreadsheets/d/11923uPwbBZFjjGgGUA6NLw09EwE0CqkOc4q9oUmW1yo/edit?usp=sharing"",""กำแพงเพชร!M298"")"),0)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IFERROR(__xludf.DUMMYFUNCTION("IMPORTRANGE(""https://docs.google.com/spreadsheets/d/11923uPwbBZFjjGgGUA6NLw09EwE0CqkOc4q9oUmW1yo/edit?usp=sharing"",""กำแพงเพชร!L299"")"),159950)</f>
        <v>159950</v>
      </c>
      <c r="M404" s="173"/>
      <c r="N404" s="178">
        <f ca="1">IFERROR(__xludf.DUMMYFUNCTION("IMPORTRANGE(""https://docs.google.com/spreadsheets/d/11923uPwbBZFjjGgGUA6NLw09EwE0CqkOc4q9oUmW1yo/edit?usp=sharing"",""กำแพงเพชร!M299"")"),0)</f>
        <v>0</v>
      </c>
      <c r="O404" s="178">
        <f t="shared" ca="1" si="112"/>
        <v>0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IFERROR(__xludf.DUMMYFUNCTION("IMPORTRANGE(""https://docs.google.com/spreadsheets/d/11923uPwbBZFjjGgGUA6NLw09EwE0CqkOc4q9oUmW1yo/edit?usp=sharing"",""กำแพงเพชร!L300"")"),0)</f>
        <v>0</v>
      </c>
      <c r="M405" s="178"/>
      <c r="N405" s="178">
        <f ca="1">IFERROR(__xludf.DUMMYFUNCTION("IMPORTRANGE(""https://docs.google.com/spreadsheets/d/11923uPwbBZFjjGgGUA6NLw09EwE0CqkOc4q9oUmW1yo/edit?usp=sharing"",""กำแพงเพชร!M300"")"),0)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IFERROR(__xludf.DUMMYFUNCTION("IMPORTRANGE(""https://docs.google.com/spreadsheets/d/11923uPwbBZFjjGgGUA6NLw09EwE0CqkOc4q9oUmW1yo/edit?usp=sharing"",""กำแพงเพชร!L301"")"),159950)</f>
        <v>159950</v>
      </c>
      <c r="M406" s="178"/>
      <c r="N406" s="178">
        <f ca="1">IFERROR(__xludf.DUMMYFUNCTION("IMPORTRANGE(""https://docs.google.com/spreadsheets/d/11923uPwbBZFjjGgGUA6NLw09EwE0CqkOc4q9oUmW1yo/edit?usp=sharing"",""กำแพงเพชร!M301"")"),0)</f>
        <v>0</v>
      </c>
      <c r="O406" s="178">
        <f t="shared" ca="1" si="112"/>
        <v>0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IFERROR(__xludf.DUMMYFUNCTION("IMPORTRANGE(""https://docs.google.com/spreadsheets/d/11923uPwbBZFjjGgGUA6NLw09EwE0CqkOc4q9oUmW1yo/edit?usp=sharing"",""กำแพงเพชร!M302"")"),0)</f>
        <v>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IFERROR(__xludf.DUMMYFUNCTION("IMPORTRANGE(""https://docs.google.com/spreadsheets/d/11923uPwbBZFjjGgGUA6NLw09EwE0CqkOc4q9oUmW1yo/edit?usp=sharing"",""กำแพงเพชร!M303"")"),0)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IFERROR(__xludf.DUMMYFUNCTION("IMPORTRANGE(""https://docs.google.com/spreadsheets/d/11923uPwbBZFjjGgGUA6NLw09EwE0CqkOc4q9oUmW1yo/edit?usp=sharing"",""กำแพงเพชร!M304"")"),0)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IFERROR(__xludf.DUMMYFUNCTION("IMPORTRANGE(""https://docs.google.com/spreadsheets/d/11923uPwbBZFjjGgGUA6NLw09EwE0CqkOc4q9oUmW1yo/edit?usp=sharing"",""กำแพงเพชร!M305"")"),0)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IFERROR(__xludf.DUMMYFUNCTION("IMPORTRANGE(""https://docs.google.com/spreadsheets/d/11923uPwbBZFjjGgGUA6NLw09EwE0CqkOc4q9oUmW1yo/edit?usp=sharing"",""กำแพงเพชร!J307"")"),0)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IFERROR(__xludf.DUMMYFUNCTION("IMPORTRANGE(""https://docs.google.com/spreadsheets/d/11923uPwbBZFjjGgGUA6NLw09EwE0CqkOc4q9oUmW1yo/edit?usp=sharing"",""กำแพงเพชร!J308"")"),1)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IFERROR(__xludf.DUMMYFUNCTION("IMPORTRANGE(""https://docs.google.com/spreadsheets/d/11923uPwbBZFjjGgGUA6NLw09EwE0CqkOc4q9oUmW1yo/edit?usp=sharing"",""กำแพงเพชร!J309"")"),1)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IFERROR(__xludf.DUMMYFUNCTION("IMPORTRANGE(""https://docs.google.com/spreadsheets/d/11923uPwbBZFjjGgGUA6NLw09EwE0CqkOc4q9oUmW1yo/edit?usp=sharing"",""กำแพงเพชร!J310"")"),0)</f>
        <v>0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IFERROR(__xludf.DUMMYFUNCTION("IMPORTRANGE(""https://docs.google.com/spreadsheets/d/11923uPwbBZFjjGgGUA6NLw09EwE0CqkOc4q9oUmW1yo/edit?usp=sharing"",""กำแพงเพชร!I311"")"),45)</f>
        <v>45</v>
      </c>
      <c r="J416" s="210">
        <f ca="1">IFERROR(__xludf.DUMMYFUNCTION("IMPORTRANGE(""https://docs.google.com/spreadsheets/d/11923uPwbBZFjjGgGUA6NLw09EwE0CqkOc4q9oUmW1yo/edit?usp=sharing"",""กำแพงเพชร!J311"")"),0)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IFERROR(__xludf.DUMMYFUNCTION("IMPORTRANGE(""https://docs.google.com/spreadsheets/d/11923uPwbBZFjjGgGUA6NLw09EwE0CqkOc4q9oUmW1yo/edit?usp=sharing"",""กำแพงเพชร!I312"")"),10)</f>
        <v>10</v>
      </c>
      <c r="J417" s="400">
        <f ca="1">IFERROR(__xludf.DUMMYFUNCTION("IMPORTRANGE(""https://docs.google.com/spreadsheets/d/11923uPwbBZFjjGgGUA6NLw09EwE0CqkOc4q9oUmW1yo/edit?usp=sharing"",""กำแพงเพชร!J312"")"),0)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IFERROR(__xludf.DUMMYFUNCTION("IMPORTRANGE(""https://docs.google.com/spreadsheets/d/11923uPwbBZFjjGgGUA6NLw09EwE0CqkOc4q9oUmW1yo/edit?usp=sharing"",""กำแพงเพชร!I313"")"),30)</f>
        <v>30</v>
      </c>
      <c r="J418" s="401">
        <f ca="1">IFERROR(__xludf.DUMMYFUNCTION("IMPORTRANGE(""https://docs.google.com/spreadsheets/d/11923uPwbBZFjjGgGUA6NLw09EwE0CqkOc4q9oUmW1yo/edit?usp=sharing"",""กำแพงเพชร!J313"")"),0)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IFERROR(__xludf.DUMMYFUNCTION("IMPORTRANGE(""https://docs.google.com/spreadsheets/d/11923uPwbBZFjjGgGUA6NLw09EwE0CqkOc4q9oUmW1yo/edit?usp=sharing"",""กำแพงเพชร!I314"")"),10)</f>
        <v>10</v>
      </c>
      <c r="J419" s="402">
        <f ca="1">IFERROR(__xludf.DUMMYFUNCTION("IMPORTRANGE(""https://docs.google.com/spreadsheets/d/11923uPwbBZFjjGgGUA6NLw09EwE0CqkOc4q9oUmW1yo/edit?usp=sharing"",""กำแพงเพชร!J314"")"),0)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IFERROR(__xludf.DUMMYFUNCTION("IMPORTRANGE(""https://docs.google.com/spreadsheets/d/11923uPwbBZFjjGgGUA6NLw09EwE0CqkOc4q9oUmW1yo/edit?usp=sharing"",""กำแพงเพชร!I315"")"),10)</f>
        <v>10</v>
      </c>
      <c r="J420" s="402">
        <f ca="1">IFERROR(__xludf.DUMMYFUNCTION("IMPORTRANGE(""https://docs.google.com/spreadsheets/d/11923uPwbBZFjjGgGUA6NLw09EwE0CqkOc4q9oUmW1yo/edit?usp=sharing"",""กำแพงเพชร!J315"")"),0)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IFERROR(__xludf.DUMMYFUNCTION("IMPORTRANGE(""https://docs.google.com/spreadsheets/d/11923uPwbBZFjjGgGUA6NLw09EwE0CqkOc4q9oUmW1yo/edit?usp=sharing"",""กำแพงเพชร!I316"")"),25)</f>
        <v>25</v>
      </c>
      <c r="J421" s="400">
        <f ca="1">IFERROR(__xludf.DUMMYFUNCTION("IMPORTRANGE(""https://docs.google.com/spreadsheets/d/11923uPwbBZFjjGgGUA6NLw09EwE0CqkOc4q9oUmW1yo/edit?usp=sharing"",""กำแพงเพชร!J316"")"),0)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IFERROR(__xludf.DUMMYFUNCTION("IMPORTRANGE(""https://docs.google.com/spreadsheets/d/11923uPwbBZFjjGgGUA6NLw09EwE0CqkOc4q9oUmW1yo/edit?usp=sharing"",""กำแพงเพชร!I317"")"),75)</f>
        <v>75</v>
      </c>
      <c r="J422" s="401">
        <f ca="1">IFERROR(__xludf.DUMMYFUNCTION("IMPORTRANGE(""https://docs.google.com/spreadsheets/d/11923uPwbBZFjjGgGUA6NLw09EwE0CqkOc4q9oUmW1yo/edit?usp=sharing"",""กำแพงเพชร!J317"")"),0)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IFERROR(__xludf.DUMMYFUNCTION("IMPORTRANGE(""https://docs.google.com/spreadsheets/d/11923uPwbBZFjjGgGUA6NLw09EwE0CqkOc4q9oUmW1yo/edit?usp=sharing"",""กำแพงเพชร!I318"")"),25)</f>
        <v>25</v>
      </c>
      <c r="J423" s="402">
        <f ca="1">IFERROR(__xludf.DUMMYFUNCTION("IMPORTRANGE(""https://docs.google.com/spreadsheets/d/11923uPwbBZFjjGgGUA6NLw09EwE0CqkOc4q9oUmW1yo/edit?usp=sharing"",""กำแพงเพชร!J318"")"),0)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IFERROR(__xludf.DUMMYFUNCTION("IMPORTRANGE(""https://docs.google.com/spreadsheets/d/11923uPwbBZFjjGgGUA6NLw09EwE0CqkOc4q9oUmW1yo/edit?usp=sharing"",""กำแพงเพชร!I319"")"),25)</f>
        <v>25</v>
      </c>
      <c r="J424" s="402">
        <f ca="1">IFERROR(__xludf.DUMMYFUNCTION("IMPORTRANGE(""https://docs.google.com/spreadsheets/d/11923uPwbBZFjjGgGUA6NLw09EwE0CqkOc4q9oUmW1yo/edit?usp=sharing"",""กำแพงเพชร!J319"")"),0)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IFERROR(__xludf.DUMMYFUNCTION("IMPORTRANGE(""https://docs.google.com/spreadsheets/d/11923uPwbBZFjjGgGUA6NLw09EwE0CqkOc4q9oUmW1yo/edit?usp=sharing"",""กำแพงเพชร!I320"")"),25)</f>
        <v>25</v>
      </c>
      <c r="J425" s="402">
        <f ca="1">IFERROR(__xludf.DUMMYFUNCTION("IMPORTRANGE(""https://docs.google.com/spreadsheets/d/11923uPwbBZFjjGgGUA6NLw09EwE0CqkOc4q9oUmW1yo/edit?usp=sharing"",""กำแพงเพชร!J320"")"),0)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IFERROR(__xludf.DUMMYFUNCTION("IMPORTRANGE(""https://docs.google.com/spreadsheets/d/11923uPwbBZFjjGgGUA6NLw09EwE0CqkOc4q9oUmW1yo/edit?usp=sharing"",""กำแพงเพชร!I321"")"),10)</f>
        <v>10</v>
      </c>
      <c r="J426" s="400">
        <f ca="1">IFERROR(__xludf.DUMMYFUNCTION("IMPORTRANGE(""https://docs.google.com/spreadsheets/d/11923uPwbBZFjjGgGUA6NLw09EwE0CqkOc4q9oUmW1yo/edit?usp=sharing"",""กำแพงเพชร!J321"")"),0)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IFERROR(__xludf.DUMMYFUNCTION("IMPORTRANGE(""https://docs.google.com/spreadsheets/d/11923uPwbBZFjjGgGUA6NLw09EwE0CqkOc4q9oUmW1yo/edit?usp=sharing"",""กำแพงเพชร!I322"")"),30)</f>
        <v>30</v>
      </c>
      <c r="J427" s="401">
        <f ca="1">IFERROR(__xludf.DUMMYFUNCTION("IMPORTRANGE(""https://docs.google.com/spreadsheets/d/11923uPwbBZFjjGgGUA6NLw09EwE0CqkOc4q9oUmW1yo/edit?usp=sharing"",""กำแพงเพชร!J322"")"),0)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IFERROR(__xludf.DUMMYFUNCTION("IMPORTRANGE(""https://docs.google.com/spreadsheets/d/11923uPwbBZFjjGgGUA6NLw09EwE0CqkOc4q9oUmW1yo/edit?usp=sharing"",""กำแพงเพชร!I323"")"),10)</f>
        <v>10</v>
      </c>
      <c r="J428" s="402">
        <f ca="1">IFERROR(__xludf.DUMMYFUNCTION("IMPORTRANGE(""https://docs.google.com/spreadsheets/d/11923uPwbBZFjjGgGUA6NLw09EwE0CqkOc4q9oUmW1yo/edit?usp=sharing"",""กำแพงเพชร!J323"")"),0)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IFERROR(__xludf.DUMMYFUNCTION("IMPORTRANGE(""https://docs.google.com/spreadsheets/d/11923uPwbBZFjjGgGUA6NLw09EwE0CqkOc4q9oUmW1yo/edit?usp=sharing"",""กำแพงเพชร!I324"")"),10)</f>
        <v>10</v>
      </c>
      <c r="J429" s="402">
        <f ca="1">IFERROR(__xludf.DUMMYFUNCTION("IMPORTRANGE(""https://docs.google.com/spreadsheets/d/11923uPwbBZFjjGgGUA6NLw09EwE0CqkOc4q9oUmW1yo/edit?usp=sharing"",""กำแพงเพชร!J324"")"),0)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IFERROR(__xludf.DUMMYFUNCTION("IMPORTRANGE(""https://docs.google.com/spreadsheets/d/11923uPwbBZFjjGgGUA6NLw09EwE0CqkOc4q9oUmW1yo/edit?usp=sharing"",""กำแพงเพชร!I325"")"),35)</f>
        <v>35</v>
      </c>
      <c r="J430" s="400">
        <f ca="1">IFERROR(__xludf.DUMMYFUNCTION("IMPORTRANGE(""https://docs.google.com/spreadsheets/d/11923uPwbBZFjjGgGUA6NLw09EwE0CqkOc4q9oUmW1yo/edit?usp=sharing"",""กำแพงเพชร!J325"")"),0)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IFERROR(__xludf.DUMMYFUNCTION("IMPORTRANGE(""https://docs.google.com/spreadsheets/d/11923uPwbBZFjjGgGUA6NLw09EwE0CqkOc4q9oUmW1yo/edit?usp=sharing"",""กำแพงเพชร!I326"")"),10)</f>
        <v>10</v>
      </c>
      <c r="J431" s="402">
        <f ca="1">IFERROR(__xludf.DUMMYFUNCTION("IMPORTRANGE(""https://docs.google.com/spreadsheets/d/11923uPwbBZFjjGgGUA6NLw09EwE0CqkOc4q9oUmW1yo/edit?usp=sharing"",""กำแพงเพชร!J326"")"),0)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IFERROR(__xludf.DUMMYFUNCTION("IMPORTRANGE(""https://docs.google.com/spreadsheets/d/11923uPwbBZFjjGgGUA6NLw09EwE0CqkOc4q9oUmW1yo/edit?usp=sharing"",""กำแพงเพชร!I327"")"),25)</f>
        <v>25</v>
      </c>
      <c r="J432" s="402">
        <f ca="1">IFERROR(__xludf.DUMMYFUNCTION("IMPORTRANGE(""https://docs.google.com/spreadsheets/d/11923uPwbBZFjjGgGUA6NLw09EwE0CqkOc4q9oUmW1yo/edit?usp=sharing"",""กำแพงเพชร!J327"")"),0)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IFERROR(__xludf.DUMMYFUNCTION("IMPORTRANGE(""https://docs.google.com/spreadsheets/d/11923uPwbBZFjjGgGUA6NLw09EwE0CqkOc4q9oUmW1yo/edit?usp=sharing"",""กำแพงเพชร!J328"")"),0)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IFERROR(__xludf.DUMMYFUNCTION("IMPORTRANGE(""https://docs.google.com/spreadsheets/d/11923uPwbBZFjjGgGUA6NLw09EwE0CqkOc4q9oUmW1yo/edit?usp=sharing"",""กำแพงเพชร!J329"")"),0)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IFERROR(__xludf.DUMMYFUNCTION("IMPORTRANGE(""https://docs.google.com/spreadsheets/d/11923uPwbBZFjjGgGUA6NLw09EwE0CqkOc4q9oUmW1yo/edit?usp=sharing"",""กำแพงเพชร!I330"")"),40)</f>
        <v>40</v>
      </c>
      <c r="J435" s="418">
        <f ca="1">IFERROR(__xludf.DUMMYFUNCTION("IMPORTRANGE(""https://docs.google.com/spreadsheets/d/11923uPwbBZFjjGgGUA6NLw09EwE0CqkOc4q9oUmW1yo/edit?usp=sharing"",""กำแพงเพชร!J330"")"),20)</f>
        <v>20</v>
      </c>
      <c r="K435" s="419">
        <f ca="1">IF(I435&gt;0,J435*100/I435,0)</f>
        <v>50</v>
      </c>
      <c r="L435" s="420">
        <f ca="1">IFERROR(__xludf.DUMMYFUNCTION("IMPORTRANGE(""https://docs.google.com/spreadsheets/d/11923uPwbBZFjjGgGUA6NLw09EwE0CqkOc4q9oUmW1yo/edit?usp=sharing"",""กำแพงเพชร!L330"")"),134600)</f>
        <v>134600</v>
      </c>
      <c r="M435" s="420"/>
      <c r="N435" s="420">
        <f ca="1">IFERROR(__xludf.DUMMYFUNCTION("IMPORTRANGE(""https://docs.google.com/spreadsheets/d/11923uPwbBZFjjGgGUA6NLw09EwE0CqkOc4q9oUmW1yo/edit?usp=sharing"",""กำแพงเพชร!M330"")"),69660)</f>
        <v>69660</v>
      </c>
      <c r="O435" s="420">
        <f t="shared" ref="O435:O439" ca="1" si="114">+IF(L435&gt;0,N435*100/L435,0)</f>
        <v>51.753343239227341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IFERROR(__xludf.DUMMYFUNCTION("IMPORTRANGE(""https://docs.google.com/spreadsheets/d/11923uPwbBZFjjGgGUA6NLw09EwE0CqkOc4q9oUmW1yo/edit?usp=sharing"",""กำแพงเพชร!L331"")"),0)</f>
        <v>0</v>
      </c>
      <c r="M436" s="172"/>
      <c r="N436" s="178">
        <f ca="1">IFERROR(__xludf.DUMMYFUNCTION("IMPORTRANGE(""https://docs.google.com/spreadsheets/d/11923uPwbBZFjjGgGUA6NLw09EwE0CqkOc4q9oUmW1yo/edit?usp=sharing"",""กำแพงเพชร!M331"")"),0)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IFERROR(__xludf.DUMMYFUNCTION("IMPORTRANGE(""https://docs.google.com/spreadsheets/d/11923uPwbBZFjjGgGUA6NLw09EwE0CqkOc4q9oUmW1yo/edit?usp=sharing"",""กำแพงเพชร!L332"")"),134600)</f>
        <v>134600</v>
      </c>
      <c r="M437" s="173"/>
      <c r="N437" s="178">
        <f ca="1">IFERROR(__xludf.DUMMYFUNCTION("IMPORTRANGE(""https://docs.google.com/spreadsheets/d/11923uPwbBZFjjGgGUA6NLw09EwE0CqkOc4q9oUmW1yo/edit?usp=sharing"",""กำแพงเพชร!M332"")"),69660)</f>
        <v>69660</v>
      </c>
      <c r="O437" s="178">
        <f t="shared" ca="1" si="114"/>
        <v>51.753343239227341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IFERROR(__xludf.DUMMYFUNCTION("IMPORTRANGE(""https://docs.google.com/spreadsheets/d/11923uPwbBZFjjGgGUA6NLw09EwE0CqkOc4q9oUmW1yo/edit?usp=sharing"",""กำแพงเพชร!L333"")"),0)</f>
        <v>0</v>
      </c>
      <c r="M438" s="178"/>
      <c r="N438" s="178">
        <f ca="1">IFERROR(__xludf.DUMMYFUNCTION("IMPORTRANGE(""https://docs.google.com/spreadsheets/d/11923uPwbBZFjjGgGUA6NLw09EwE0CqkOc4q9oUmW1yo/edit?usp=sharing"",""กำแพงเพชร!M333"")"),0)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IFERROR(__xludf.DUMMYFUNCTION("IMPORTRANGE(""https://docs.google.com/spreadsheets/d/11923uPwbBZFjjGgGUA6NLw09EwE0CqkOc4q9oUmW1yo/edit?usp=sharing"",""กำแพงเพชร!L334"")"),134600)</f>
        <v>134600</v>
      </c>
      <c r="M439" s="178"/>
      <c r="N439" s="178">
        <f ca="1">IFERROR(__xludf.DUMMYFUNCTION("IMPORTRANGE(""https://docs.google.com/spreadsheets/d/11923uPwbBZFjjGgGUA6NLw09EwE0CqkOc4q9oUmW1yo/edit?usp=sharing"",""กำแพงเพชร!M334"")"),69660)</f>
        <v>69660</v>
      </c>
      <c r="O439" s="178">
        <f t="shared" ca="1" si="114"/>
        <v>51.753343239227341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IFERROR(__xludf.DUMMYFUNCTION("IMPORTRANGE(""https://docs.google.com/spreadsheets/d/11923uPwbBZFjjGgGUA6NLw09EwE0CqkOc4q9oUmW1yo/edit?usp=sharing"",""กำแพงเพชร!M335"")"),58600)</f>
        <v>58600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IFERROR(__xludf.DUMMYFUNCTION("IMPORTRANGE(""https://docs.google.com/spreadsheets/d/11923uPwbBZFjjGgGUA6NLw09EwE0CqkOc4q9oUmW1yo/edit?usp=sharing"",""กำแพงเพชร!M336"")"),0)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IFERROR(__xludf.DUMMYFUNCTION("IMPORTRANGE(""https://docs.google.com/spreadsheets/d/11923uPwbBZFjjGgGUA6NLw09EwE0CqkOc4q9oUmW1yo/edit?usp=sharing"",""กำแพงเพชร!M337"")"),0)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IFERROR(__xludf.DUMMYFUNCTION("IMPORTRANGE(""https://docs.google.com/spreadsheets/d/11923uPwbBZFjjGgGUA6NLw09EwE0CqkOc4q9oUmW1yo/edit?usp=sharing"",""กำแพงเพชร!M338"")"),11060)</f>
        <v>11060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IFERROR(__xludf.DUMMYFUNCTION("IMPORTRANGE(""https://docs.google.com/spreadsheets/d/11923uPwbBZFjjGgGUA6NLw09EwE0CqkOc4q9oUmW1yo/edit?usp=sharing"",""กำแพงเพชร!J340"")"),0)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IFERROR(__xludf.DUMMYFUNCTION("IMPORTRANGE(""https://docs.google.com/spreadsheets/d/11923uPwbBZFjjGgGUA6NLw09EwE0CqkOc4q9oUmW1yo/edit?usp=sharing"",""กำแพงเพชร!J341"")"),1)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IFERROR(__xludf.DUMMYFUNCTION("IMPORTRANGE(""https://docs.google.com/spreadsheets/d/11923uPwbBZFjjGgGUA6NLw09EwE0CqkOc4q9oUmW1yo/edit?usp=sharing"",""กำแพงเพชร!J342"")"),1)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IFERROR(__xludf.DUMMYFUNCTION("IMPORTRANGE(""https://docs.google.com/spreadsheets/d/11923uPwbBZFjjGgGUA6NLw09EwE0CqkOc4q9oUmW1yo/edit?usp=sharing"",""กำแพงเพชร!J343"")"),1)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IFERROR(__xludf.DUMMYFUNCTION("IMPORTRANGE(""https://docs.google.com/spreadsheets/d/11923uPwbBZFjjGgGUA6NLw09EwE0CqkOc4q9oUmW1yo/edit?usp=sharing"",""กำแพงเพชร!I344"")"),40)</f>
        <v>40</v>
      </c>
      <c r="J449" s="210">
        <f ca="1">IFERROR(__xludf.DUMMYFUNCTION("IMPORTRANGE(""https://docs.google.com/spreadsheets/d/11923uPwbBZFjjGgGUA6NLw09EwE0CqkOc4q9oUmW1yo/edit?usp=sharing"",""กำแพงเพชร!J344"")"),20)</f>
        <v>20</v>
      </c>
      <c r="K449" s="171">
        <f t="shared" ref="K449:K452" ca="1" si="115">IF(I449&gt;0,J449*100/I449,0)</f>
        <v>50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IFERROR(__xludf.DUMMYFUNCTION("IMPORTRANGE(""https://docs.google.com/spreadsheets/d/11923uPwbBZFjjGgGUA6NLw09EwE0CqkOc4q9oUmW1yo/edit?usp=sharing"",""กำแพงเพชร!I345"")"),20)</f>
        <v>20</v>
      </c>
      <c r="J450" s="198">
        <f ca="1">IFERROR(__xludf.DUMMYFUNCTION("IMPORTRANGE(""https://docs.google.com/spreadsheets/d/11923uPwbBZFjjGgGUA6NLw09EwE0CqkOc4q9oUmW1yo/edit?usp=sharing"",""กำแพงเพชร!J345"")"),20)</f>
        <v>20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IFERROR(__xludf.DUMMYFUNCTION("IMPORTRANGE(""https://docs.google.com/spreadsheets/d/11923uPwbBZFjjGgGUA6NLw09EwE0CqkOc4q9oUmW1yo/edit?usp=sharing"",""กำแพงเพชร!I346"")"),20)</f>
        <v>20</v>
      </c>
      <c r="J451" s="197">
        <f ca="1">IFERROR(__xludf.DUMMYFUNCTION("IMPORTRANGE(""https://docs.google.com/spreadsheets/d/11923uPwbBZFjjGgGUA6NLw09EwE0CqkOc4q9oUmW1yo/edit?usp=sharing"",""กำแพงเพชร!J346"")"),0)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IFERROR(__xludf.DUMMYFUNCTION("IMPORTRANGE(""https://docs.google.com/spreadsheets/d/11923uPwbBZFjjGgGUA6NLw09EwE0CqkOc4q9oUmW1yo/edit?usp=sharing"",""กำแพงเพชร!I347"")"),0)</f>
        <v>0</v>
      </c>
      <c r="J452" s="197">
        <f ca="1">IFERROR(__xludf.DUMMYFUNCTION("IMPORTRANGE(""https://docs.google.com/spreadsheets/d/11923uPwbBZFjjGgGUA6NLw09EwE0CqkOc4q9oUmW1yo/edit?usp=sharing"",""กำแพงเพชร!J347"")"),0)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IFERROR(__xludf.DUMMYFUNCTION("IMPORTRANGE(""https://docs.google.com/spreadsheets/d/11923uPwbBZFjjGgGUA6NLw09EwE0CqkOc4q9oUmW1yo/edit?usp=sharing"",""กำแพงเพชร!J348"")"),0)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IFERROR(__xludf.DUMMYFUNCTION("IMPORTRANGE(""https://docs.google.com/spreadsheets/d/11923uPwbBZFjjGgGUA6NLw09EwE0CqkOc4q9oUmW1yo/edit?usp=sharing"",""กำแพงเพชร!J349"")"),0)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IFERROR(__xludf.DUMMYFUNCTION("IMPORTRANGE(""https://docs.google.com/spreadsheets/d/11923uPwbBZFjjGgGUA6NLw09EwE0CqkOc4q9oUmW1yo/edit?usp=sharing"",""กำแพงเพชร!I350"")"),156920)</f>
        <v>156920</v>
      </c>
      <c r="J455" s="379">
        <f ca="1">IFERROR(__xludf.DUMMYFUNCTION("IMPORTRANGE(""https://docs.google.com/spreadsheets/d/11923uPwbBZFjjGgGUA6NLw09EwE0CqkOc4q9oUmW1yo/edit?usp=sharing"",""กำแพงเพชร!J350"")"),0)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IFERROR(__xludf.DUMMYFUNCTION("IMPORTRANGE(""https://docs.google.com/spreadsheets/d/11923uPwbBZFjjGgGUA6NLw09EwE0CqkOc4q9oUmW1yo/edit?usp=sharing"",""กำแพงเพชร!L350"")"),1082066)</f>
        <v>1082066</v>
      </c>
      <c r="M455" s="381"/>
      <c r="N455" s="381">
        <f ca="1">IFERROR(__xludf.DUMMYFUNCTION("IMPORTRANGE(""https://docs.google.com/spreadsheets/d/11923uPwbBZFjjGgGUA6NLw09EwE0CqkOc4q9oUmW1yo/edit?usp=sharing"",""กำแพงเพชร!M350"")"),44476.67)</f>
        <v>44476.67</v>
      </c>
      <c r="O455" s="381">
        <f t="shared" ref="O455:O459" ca="1" si="116">+IF(L455&gt;0,N455*100/L455,0)</f>
        <v>4.1103472431441332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IFERROR(__xludf.DUMMYFUNCTION("IMPORTRANGE(""https://docs.google.com/spreadsheets/d/11923uPwbBZFjjGgGUA6NLw09EwE0CqkOc4q9oUmW1yo/edit?usp=sharing"",""กำแพงเพชร!L351"")"),0)</f>
        <v>0</v>
      </c>
      <c r="M456" s="172"/>
      <c r="N456" s="178">
        <f ca="1">IFERROR(__xludf.DUMMYFUNCTION("IMPORTRANGE(""https://docs.google.com/spreadsheets/d/11923uPwbBZFjjGgGUA6NLw09EwE0CqkOc4q9oUmW1yo/edit?usp=sharing"",""กำแพงเพชร!M351"")"),0)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IFERROR(__xludf.DUMMYFUNCTION("IMPORTRANGE(""https://docs.google.com/spreadsheets/d/11923uPwbBZFjjGgGUA6NLw09EwE0CqkOc4q9oUmW1yo/edit?usp=sharing"",""กำแพงเพชร!L352"")"),1082066)</f>
        <v>1082066</v>
      </c>
      <c r="M457" s="173"/>
      <c r="N457" s="178">
        <f ca="1">IFERROR(__xludf.DUMMYFUNCTION("IMPORTRANGE(""https://docs.google.com/spreadsheets/d/11923uPwbBZFjjGgGUA6NLw09EwE0CqkOc4q9oUmW1yo/edit?usp=sharing"",""กำแพงเพชร!M352"")"),44476.67)</f>
        <v>44476.67</v>
      </c>
      <c r="O457" s="178">
        <f t="shared" ca="1" si="116"/>
        <v>4.1103472431441332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IFERROR(__xludf.DUMMYFUNCTION("IMPORTRANGE(""https://docs.google.com/spreadsheets/d/11923uPwbBZFjjGgGUA6NLw09EwE0CqkOc4q9oUmW1yo/edit?usp=sharing"",""กำแพงเพชร!L353"")"),0)</f>
        <v>0</v>
      </c>
      <c r="M458" s="178"/>
      <c r="N458" s="178">
        <f ca="1">IFERROR(__xludf.DUMMYFUNCTION("IMPORTRANGE(""https://docs.google.com/spreadsheets/d/11923uPwbBZFjjGgGUA6NLw09EwE0CqkOc4q9oUmW1yo/edit?usp=sharing"",""กำแพงเพชร!M353"")"),0)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IFERROR(__xludf.DUMMYFUNCTION("IMPORTRANGE(""https://docs.google.com/spreadsheets/d/11923uPwbBZFjjGgGUA6NLw09EwE0CqkOc4q9oUmW1yo/edit?usp=sharing"",""กำแพงเพชร!L354"")"),1082066)</f>
        <v>1082066</v>
      </c>
      <c r="M459" s="178"/>
      <c r="N459" s="178">
        <f ca="1">IFERROR(__xludf.DUMMYFUNCTION("IMPORTRANGE(""https://docs.google.com/spreadsheets/d/11923uPwbBZFjjGgGUA6NLw09EwE0CqkOc4q9oUmW1yo/edit?usp=sharing"",""กำแพงเพชร!M354"")"),44476.67)</f>
        <v>44476.67</v>
      </c>
      <c r="O459" s="178">
        <f t="shared" ca="1" si="116"/>
        <v>4.1103472431441332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IFERROR(__xludf.DUMMYFUNCTION("IMPORTRANGE(""https://docs.google.com/spreadsheets/d/11923uPwbBZFjjGgGUA6NLw09EwE0CqkOc4q9oUmW1yo/edit?usp=sharing"",""กำแพงเพชร!M355"")"),0)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IFERROR(__xludf.DUMMYFUNCTION("IMPORTRANGE(""https://docs.google.com/spreadsheets/d/11923uPwbBZFjjGgGUA6NLw09EwE0CqkOc4q9oUmW1yo/edit?usp=sharing"",""กำแพงเพชร!M356"")"),0)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IFERROR(__xludf.DUMMYFUNCTION("IMPORTRANGE(""https://docs.google.com/spreadsheets/d/11923uPwbBZFjjGgGUA6NLw09EwE0CqkOc4q9oUmW1yo/edit?usp=sharing"",""กำแพงเพชร!M357"")"),21266.67)</f>
        <v>21266.67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IFERROR(__xludf.DUMMYFUNCTION("IMPORTRANGE(""https://docs.google.com/spreadsheets/d/11923uPwbBZFjjGgGUA6NLw09EwE0CqkOc4q9oUmW1yo/edit?usp=sharing"",""กำแพงเพชร!M358"")"),23210)</f>
        <v>23210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IFERROR(__xludf.DUMMYFUNCTION("IMPORTRANGE(""https://docs.google.com/spreadsheets/d/11923uPwbBZFjjGgGUA6NLw09EwE0CqkOc4q9oUmW1yo/edit?usp=sharing"",""กำแพงเพชร!I359"")"),156920)</f>
        <v>156920</v>
      </c>
      <c r="J464" s="276">
        <f ca="1">IFERROR(__xludf.DUMMYFUNCTION("IMPORTRANGE(""https://docs.google.com/spreadsheets/d/11923uPwbBZFjjGgGUA6NLw09EwE0CqkOc4q9oUmW1yo/edit?usp=sharing"",""กำแพงเพชร!J359"")"),0)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IFERROR(__xludf.DUMMYFUNCTION("IMPORTRANGE(""https://docs.google.com/spreadsheets/d/11923uPwbBZFjjGgGUA6NLw09EwE0CqkOc4q9oUmW1yo/edit?usp=sharing"",""กำแพงเพชร!I360"")"),156920)</f>
        <v>156920</v>
      </c>
      <c r="J465" s="428">
        <f ca="1">IFERROR(__xludf.DUMMYFUNCTION("IMPORTRANGE(""https://docs.google.com/spreadsheets/d/11923uPwbBZFjjGgGUA6NLw09EwE0CqkOc4q9oUmW1yo/edit?usp=sharing"",""กำแพงเพชร!J360"")"),162753)</f>
        <v>162753</v>
      </c>
      <c r="K465" s="211">
        <f t="shared" ca="1" si="117"/>
        <v>103.7171807290339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IFERROR(__xludf.DUMMYFUNCTION("IMPORTRANGE(""https://docs.google.com/spreadsheets/d/11923uPwbBZFjjGgGUA6NLw09EwE0CqkOc4q9oUmW1yo/edit?usp=sharing"",""กำแพงเพชร!I361"")"),12870)</f>
        <v>12870</v>
      </c>
      <c r="J466" s="428">
        <f ca="1">IFERROR(__xludf.DUMMYFUNCTION("IMPORTRANGE(""https://docs.google.com/spreadsheets/d/11923uPwbBZFjjGgGUA6NLw09EwE0CqkOc4q9oUmW1yo/edit?usp=sharing"",""กำแพงเพชร!J361"")"),12870)</f>
        <v>12870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IFERROR(__xludf.DUMMYFUNCTION("IMPORTRANGE(""https://docs.google.com/spreadsheets/d/11923uPwbBZFjjGgGUA6NLw09EwE0CqkOc4q9oUmW1yo/edit?usp=sharing"",""กำแพงเพชร!I362"")"),0)</f>
        <v>0</v>
      </c>
      <c r="J467" s="198">
        <f ca="1">IFERROR(__xludf.DUMMYFUNCTION("IMPORTRANGE(""https://docs.google.com/spreadsheets/d/11923uPwbBZFjjGgGUA6NLw09EwE0CqkOc4q9oUmW1yo/edit?usp=sharing"",""กำแพงเพชร!J362"")"),120898)</f>
        <v>120898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IFERROR(__xludf.DUMMYFUNCTION("IMPORTRANGE(""https://docs.google.com/spreadsheets/d/11923uPwbBZFjjGgGUA6NLw09EwE0CqkOc4q9oUmW1yo/edit?usp=sharing"",""กำแพงเพชร!I363"")"),0)</f>
        <v>0</v>
      </c>
      <c r="J468" s="198">
        <f ca="1">IFERROR(__xludf.DUMMYFUNCTION("IMPORTRANGE(""https://docs.google.com/spreadsheets/d/11923uPwbBZFjjGgGUA6NLw09EwE0CqkOc4q9oUmW1yo/edit?usp=sharing"",""กำแพงเพชร!J363"")"),10340)</f>
        <v>10340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IFERROR(__xludf.DUMMYFUNCTION("IMPORTRANGE(""https://docs.google.com/spreadsheets/d/11923uPwbBZFjjGgGUA6NLw09EwE0CqkOc4q9oUmW1yo/edit?usp=sharing"",""กำแพงเพชร!I364"")"),0)</f>
        <v>0</v>
      </c>
      <c r="J469" s="198">
        <f ca="1">IFERROR(__xludf.DUMMYFUNCTION("IMPORTRANGE(""https://docs.google.com/spreadsheets/d/11923uPwbBZFjjGgGUA6NLw09EwE0CqkOc4q9oUmW1yo/edit?usp=sharing"",""กำแพงเพชร!J364"")"),39440)</f>
        <v>39440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IFERROR(__xludf.DUMMYFUNCTION("IMPORTRANGE(""https://docs.google.com/spreadsheets/d/11923uPwbBZFjjGgGUA6NLw09EwE0CqkOc4q9oUmW1yo/edit?usp=sharing"",""กำแพงเพชร!I365"")"),0)</f>
        <v>0</v>
      </c>
      <c r="J470" s="198">
        <f ca="1">IFERROR(__xludf.DUMMYFUNCTION("IMPORTRANGE(""https://docs.google.com/spreadsheets/d/11923uPwbBZFjjGgGUA6NLw09EwE0CqkOc4q9oUmW1yo/edit?usp=sharing"",""กำแพงเพชร!J365"")"),2301)</f>
        <v>2301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IFERROR(__xludf.DUMMYFUNCTION("IMPORTRANGE(""https://docs.google.com/spreadsheets/d/11923uPwbBZFjjGgGUA6NLw09EwE0CqkOc4q9oUmW1yo/edit?usp=sharing"",""กำแพงเพชร!I366"")"),0)</f>
        <v>0</v>
      </c>
      <c r="J471" s="198">
        <f ca="1">IFERROR(__xludf.DUMMYFUNCTION("IMPORTRANGE(""https://docs.google.com/spreadsheets/d/11923uPwbBZFjjGgGUA6NLw09EwE0CqkOc4q9oUmW1yo/edit?usp=sharing"",""กำแพงเพชร!J366"")"),2415)</f>
        <v>2415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IFERROR(__xludf.DUMMYFUNCTION("IMPORTRANGE(""https://docs.google.com/spreadsheets/d/11923uPwbBZFjjGgGUA6NLw09EwE0CqkOc4q9oUmW1yo/edit?usp=sharing"",""กำแพงเพชร!I367"")"),0)</f>
        <v>0</v>
      </c>
      <c r="J472" s="198">
        <f ca="1">IFERROR(__xludf.DUMMYFUNCTION("IMPORTRANGE(""https://docs.google.com/spreadsheets/d/11923uPwbBZFjjGgGUA6NLw09EwE0CqkOc4q9oUmW1yo/edit?usp=sharing"",""กำแพงเพชร!J367"")"),229)</f>
        <v>229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IFERROR(__xludf.DUMMYFUNCTION("IMPORTRANGE(""https://docs.google.com/spreadsheets/d/11923uPwbBZFjjGgGUA6NLw09EwE0CqkOc4q9oUmW1yo/edit?usp=sharing"",""กำแพงเพชร!I368"")"),156920)</f>
        <v>156920</v>
      </c>
      <c r="J473" s="428">
        <f ca="1">IFERROR(__xludf.DUMMYFUNCTION("IMPORTRANGE(""https://docs.google.com/spreadsheets/d/11923uPwbBZFjjGgGUA6NLw09EwE0CqkOc4q9oUmW1yo/edit?usp=sharing"",""กำแพงเพชร!J368"")"),0)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IFERROR(__xludf.DUMMYFUNCTION("IMPORTRANGE(""https://docs.google.com/spreadsheets/d/11923uPwbBZFjjGgGUA6NLw09EwE0CqkOc4q9oUmW1yo/edit?usp=sharing"",""กำแพงเพชร!I369"")"),12870)</f>
        <v>12870</v>
      </c>
      <c r="J474" s="428">
        <f ca="1">IFERROR(__xludf.DUMMYFUNCTION("IMPORTRANGE(""https://docs.google.com/spreadsheets/d/11923uPwbBZFjjGgGUA6NLw09EwE0CqkOc4q9oUmW1yo/edit?usp=sharing"",""กำแพงเพชร!J369"")"),0)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IFERROR(__xludf.DUMMYFUNCTION("IMPORTRANGE(""https://docs.google.com/spreadsheets/d/11923uPwbBZFjjGgGUA6NLw09EwE0CqkOc4q9oUmW1yo/edit?usp=sharing"",""กำแพงเพชร!I370"")"),0)</f>
        <v>0</v>
      </c>
      <c r="J475" s="198">
        <f ca="1">IFERROR(__xludf.DUMMYFUNCTION("IMPORTRANGE(""https://docs.google.com/spreadsheets/d/11923uPwbBZFjjGgGUA6NLw09EwE0CqkOc4q9oUmW1yo/edit?usp=sharing"",""กำแพงเพชร!J370"")"),0)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IFERROR(__xludf.DUMMYFUNCTION("IMPORTRANGE(""https://docs.google.com/spreadsheets/d/11923uPwbBZFjjGgGUA6NLw09EwE0CqkOc4q9oUmW1yo/edit?usp=sharing"",""กำแพงเพชร!I371"")"),0)</f>
        <v>0</v>
      </c>
      <c r="J476" s="198">
        <f ca="1">IFERROR(__xludf.DUMMYFUNCTION("IMPORTRANGE(""https://docs.google.com/spreadsheets/d/11923uPwbBZFjjGgGUA6NLw09EwE0CqkOc4q9oUmW1yo/edit?usp=sharing"",""กำแพงเพชร!J371"")"),0)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IFERROR(__xludf.DUMMYFUNCTION("IMPORTRANGE(""https://docs.google.com/spreadsheets/d/11923uPwbBZFjjGgGUA6NLw09EwE0CqkOc4q9oUmW1yo/edit?usp=sharing"",""กำแพงเพชร!I372"")"),0)</f>
        <v>0</v>
      </c>
      <c r="J477" s="198">
        <f ca="1">IFERROR(__xludf.DUMMYFUNCTION("IMPORTRANGE(""https://docs.google.com/spreadsheets/d/11923uPwbBZFjjGgGUA6NLw09EwE0CqkOc4q9oUmW1yo/edit?usp=sharing"",""กำแพงเพชร!J372"")"),0)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IFERROR(__xludf.DUMMYFUNCTION("IMPORTRANGE(""https://docs.google.com/spreadsheets/d/11923uPwbBZFjjGgGUA6NLw09EwE0CqkOc4q9oUmW1yo/edit?usp=sharing"",""กำแพงเพชร!I373"")"),0)</f>
        <v>0</v>
      </c>
      <c r="J478" s="198">
        <f ca="1">IFERROR(__xludf.DUMMYFUNCTION("IMPORTRANGE(""https://docs.google.com/spreadsheets/d/11923uPwbBZFjjGgGUA6NLw09EwE0CqkOc4q9oUmW1yo/edit?usp=sharing"",""กำแพงเพชร!J373"")"),0)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IFERROR(__xludf.DUMMYFUNCTION("IMPORTRANGE(""https://docs.google.com/spreadsheets/d/11923uPwbBZFjjGgGUA6NLw09EwE0CqkOc4q9oUmW1yo/edit?usp=sharing"",""กำแพงเพชร!I374"")"),0)</f>
        <v>0</v>
      </c>
      <c r="J479" s="198">
        <f ca="1">IFERROR(__xludf.DUMMYFUNCTION("IMPORTRANGE(""https://docs.google.com/spreadsheets/d/11923uPwbBZFjjGgGUA6NLw09EwE0CqkOc4q9oUmW1yo/edit?usp=sharing"",""กำแพงเพชร!J374"")"),0)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IFERROR(__xludf.DUMMYFUNCTION("IMPORTRANGE(""https://docs.google.com/spreadsheets/d/11923uPwbBZFjjGgGUA6NLw09EwE0CqkOc4q9oUmW1yo/edit?usp=sharing"",""กำแพงเพชร!I375"")"),0)</f>
        <v>0</v>
      </c>
      <c r="J480" s="198">
        <f ca="1">IFERROR(__xludf.DUMMYFUNCTION("IMPORTRANGE(""https://docs.google.com/spreadsheets/d/11923uPwbBZFjjGgGUA6NLw09EwE0CqkOc4q9oUmW1yo/edit?usp=sharing"",""กำแพงเพชร!J375"")"),0)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IFERROR(__xludf.DUMMYFUNCTION("IMPORTRANGE(""https://docs.google.com/spreadsheets/d/11923uPwbBZFjjGgGUA6NLw09EwE0CqkOc4q9oUmW1yo/edit?usp=sharing"",""กำแพงเพชร!I376"")"),156920)</f>
        <v>156920</v>
      </c>
      <c r="J481" s="428">
        <f ca="1">IFERROR(__xludf.DUMMYFUNCTION("IMPORTRANGE(""https://docs.google.com/spreadsheets/d/11923uPwbBZFjjGgGUA6NLw09EwE0CqkOc4q9oUmW1yo/edit?usp=sharing"",""กำแพงเพชร!J376"")"),0)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IFERROR(__xludf.DUMMYFUNCTION("IMPORTRANGE(""https://docs.google.com/spreadsheets/d/11923uPwbBZFjjGgGUA6NLw09EwE0CqkOc4q9oUmW1yo/edit?usp=sharing"",""กำแพงเพชร!I377"")"),12870)</f>
        <v>12870</v>
      </c>
      <c r="J482" s="428">
        <f ca="1">IFERROR(__xludf.DUMMYFUNCTION("IMPORTRANGE(""https://docs.google.com/spreadsheets/d/11923uPwbBZFjjGgGUA6NLw09EwE0CqkOc4q9oUmW1yo/edit?usp=sharing"",""กำแพงเพชร!J377"")"),0)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IFERROR(__xludf.DUMMYFUNCTION("IMPORTRANGE(""https://docs.google.com/spreadsheets/d/11923uPwbBZFjjGgGUA6NLw09EwE0CqkOc4q9oUmW1yo/edit?usp=sharing"",""กำแพงเพชร!I378"")"),0)</f>
        <v>0</v>
      </c>
      <c r="J483" s="198">
        <f ca="1">IFERROR(__xludf.DUMMYFUNCTION("IMPORTRANGE(""https://docs.google.com/spreadsheets/d/11923uPwbBZFjjGgGUA6NLw09EwE0CqkOc4q9oUmW1yo/edit?usp=sharing"",""กำแพงเพชร!J378"")"),0)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IFERROR(__xludf.DUMMYFUNCTION("IMPORTRANGE(""https://docs.google.com/spreadsheets/d/11923uPwbBZFjjGgGUA6NLw09EwE0CqkOc4q9oUmW1yo/edit?usp=sharing"",""กำแพงเพชร!I379"")"),0)</f>
        <v>0</v>
      </c>
      <c r="J484" s="198">
        <f ca="1">IFERROR(__xludf.DUMMYFUNCTION("IMPORTRANGE(""https://docs.google.com/spreadsheets/d/11923uPwbBZFjjGgGUA6NLw09EwE0CqkOc4q9oUmW1yo/edit?usp=sharing"",""กำแพงเพชร!J379"")"),0)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IFERROR(__xludf.DUMMYFUNCTION("IMPORTRANGE(""https://docs.google.com/spreadsheets/d/11923uPwbBZFjjGgGUA6NLw09EwE0CqkOc4q9oUmW1yo/edit?usp=sharing"",""กำแพงเพชร!I380"")"),0)</f>
        <v>0</v>
      </c>
      <c r="J485" s="198">
        <f ca="1">IFERROR(__xludf.DUMMYFUNCTION("IMPORTRANGE(""https://docs.google.com/spreadsheets/d/11923uPwbBZFjjGgGUA6NLw09EwE0CqkOc4q9oUmW1yo/edit?usp=sharing"",""กำแพงเพชร!J380"")"),0)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IFERROR(__xludf.DUMMYFUNCTION("IMPORTRANGE(""https://docs.google.com/spreadsheets/d/11923uPwbBZFjjGgGUA6NLw09EwE0CqkOc4q9oUmW1yo/edit?usp=sharing"",""กำแพงเพชร!I381"")"),0)</f>
        <v>0</v>
      </c>
      <c r="J486" s="198">
        <f ca="1">IFERROR(__xludf.DUMMYFUNCTION("IMPORTRANGE(""https://docs.google.com/spreadsheets/d/11923uPwbBZFjjGgGUA6NLw09EwE0CqkOc4q9oUmW1yo/edit?usp=sharing"",""กำแพงเพชร!J381"")"),0)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IFERROR(__xludf.DUMMYFUNCTION("IMPORTRANGE(""https://docs.google.com/spreadsheets/d/11923uPwbBZFjjGgGUA6NLw09EwE0CqkOc4q9oUmW1yo/edit?usp=sharing"",""กำแพงเพชร!I382"")"),0)</f>
        <v>0</v>
      </c>
      <c r="J487" s="428">
        <f ca="1">IFERROR(__xludf.DUMMYFUNCTION("IMPORTRANGE(""https://docs.google.com/spreadsheets/d/11923uPwbBZFjjGgGUA6NLw09EwE0CqkOc4q9oUmW1yo/edit?usp=sharing"",""กำแพงเพชร!J382"")"),0)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IFERROR(__xludf.DUMMYFUNCTION("IMPORTRANGE(""https://docs.google.com/spreadsheets/d/11923uPwbBZFjjGgGUA6NLw09EwE0CqkOc4q9oUmW1yo/edit?usp=sharing"",""กำแพงเพชร!I383"")"),0)</f>
        <v>0</v>
      </c>
      <c r="J488" s="428">
        <f ca="1">IFERROR(__xludf.DUMMYFUNCTION("IMPORTRANGE(""https://docs.google.com/spreadsheets/d/11923uPwbBZFjjGgGUA6NLw09EwE0CqkOc4q9oUmW1yo/edit?usp=sharing"",""กำแพงเพชร!J383"")"),0)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IFERROR(__xludf.DUMMYFUNCTION("IMPORTRANGE(""https://docs.google.com/spreadsheets/d/11923uPwbBZFjjGgGUA6NLw09EwE0CqkOc4q9oUmW1yo/edit?usp=sharing"",""กำแพงเพชร!I384"")"),0)</f>
        <v>0</v>
      </c>
      <c r="J489" s="198">
        <f ca="1">IFERROR(__xludf.DUMMYFUNCTION("IMPORTRANGE(""https://docs.google.com/spreadsheets/d/11923uPwbBZFjjGgGUA6NLw09EwE0CqkOc4q9oUmW1yo/edit?usp=sharing"",""กำแพงเพชร!J384"")"),0)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IFERROR(__xludf.DUMMYFUNCTION("IMPORTRANGE(""https://docs.google.com/spreadsheets/d/11923uPwbBZFjjGgGUA6NLw09EwE0CqkOc4q9oUmW1yo/edit?usp=sharing"",""กำแพงเพชร!I385"")"),0)</f>
        <v>0</v>
      </c>
      <c r="J490" s="198">
        <f ca="1">IFERROR(__xludf.DUMMYFUNCTION("IMPORTRANGE(""https://docs.google.com/spreadsheets/d/11923uPwbBZFjjGgGUA6NLw09EwE0CqkOc4q9oUmW1yo/edit?usp=sharing"",""กำแพงเพชร!J385"")"),0)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IFERROR(__xludf.DUMMYFUNCTION("IMPORTRANGE(""https://docs.google.com/spreadsheets/d/11923uPwbBZFjjGgGUA6NLw09EwE0CqkOc4q9oUmW1yo/edit?usp=sharing"",""กำแพงเพชร!I386"")"),0)</f>
        <v>0</v>
      </c>
      <c r="J491" s="198">
        <f ca="1">IFERROR(__xludf.DUMMYFUNCTION("IMPORTRANGE(""https://docs.google.com/spreadsheets/d/11923uPwbBZFjjGgGUA6NLw09EwE0CqkOc4q9oUmW1yo/edit?usp=sharing"",""กำแพงเพชร!J386"")"),0)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IFERROR(__xludf.DUMMYFUNCTION("IMPORTRANGE(""https://docs.google.com/spreadsheets/d/11923uPwbBZFjjGgGUA6NLw09EwE0CqkOc4q9oUmW1yo/edit?usp=sharing"",""กำแพงเพชร!I387"")"),0)</f>
        <v>0</v>
      </c>
      <c r="J492" s="198">
        <f ca="1">IFERROR(__xludf.DUMMYFUNCTION("IMPORTRANGE(""https://docs.google.com/spreadsheets/d/11923uPwbBZFjjGgGUA6NLw09EwE0CqkOc4q9oUmW1yo/edit?usp=sharing"",""กำแพงเพชร!J387"")"),0)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IFERROR(__xludf.DUMMYFUNCTION("IMPORTRANGE(""https://docs.google.com/spreadsheets/d/11923uPwbBZFjjGgGUA6NLw09EwE0CqkOc4q9oUmW1yo/edit?usp=sharing"",""กำแพงเพชร!I388"")"),0)</f>
        <v>0</v>
      </c>
      <c r="J493" s="198">
        <f ca="1">IFERROR(__xludf.DUMMYFUNCTION("IMPORTRANGE(""https://docs.google.com/spreadsheets/d/11923uPwbBZFjjGgGUA6NLw09EwE0CqkOc4q9oUmW1yo/edit?usp=sharing"",""กำแพงเพชร!J388"")"),0)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IFERROR(__xludf.DUMMYFUNCTION("IMPORTRANGE(""https://docs.google.com/spreadsheets/d/11923uPwbBZFjjGgGUA6NLw09EwE0CqkOc4q9oUmW1yo/edit?usp=sharing"",""กำแพงเพชร!I389"")"),0)</f>
        <v>0</v>
      </c>
      <c r="J494" s="444">
        <f ca="1">IFERROR(__xludf.DUMMYFUNCTION("IMPORTRANGE(""https://docs.google.com/spreadsheets/d/11923uPwbBZFjjGgGUA6NLw09EwE0CqkOc4q9oUmW1yo/edit?usp=sharing"",""กำแพงเพชร!J389"")"),0)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IFERROR(__xludf.DUMMYFUNCTION("IMPORTRANGE(""https://docs.google.com/spreadsheets/d/11923uPwbBZFjjGgGUA6NLw09EwE0CqkOc4q9oUmW1yo/edit?usp=sharing"",""กำแพงเพชร!I390"")"),0)</f>
        <v>0</v>
      </c>
      <c r="J495" s="444">
        <f ca="1">IFERROR(__xludf.DUMMYFUNCTION("IMPORTRANGE(""https://docs.google.com/spreadsheets/d/11923uPwbBZFjjGgGUA6NLw09EwE0CqkOc4q9oUmW1yo/edit?usp=sharing"",""กำแพงเพชร!J390"")"),0)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IFERROR(__xludf.DUMMYFUNCTION("IMPORTRANGE(""https://docs.google.com/spreadsheets/d/11923uPwbBZFjjGgGUA6NLw09EwE0CqkOc4q9oUmW1yo/edit?usp=sharing"",""กำแพงเพชร!I391"")"),0)</f>
        <v>0</v>
      </c>
      <c r="J496" s="444">
        <f ca="1">IFERROR(__xludf.DUMMYFUNCTION("IMPORTRANGE(""https://docs.google.com/spreadsheets/d/11923uPwbBZFjjGgGUA6NLw09EwE0CqkOc4q9oUmW1yo/edit?usp=sharing"",""กำแพงเพชร!J391"")"),0)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IFERROR(__xludf.DUMMYFUNCTION("IMPORTRANGE(""https://docs.google.com/spreadsheets/d/11923uPwbBZFjjGgGUA6NLw09EwE0CqkOc4q9oUmW1yo/edit?usp=sharing"",""กำแพงเพชร!I392"")"),5005)</f>
        <v>5005</v>
      </c>
      <c r="J497" s="451">
        <f ca="1">IFERROR(__xludf.DUMMYFUNCTION("IMPORTRANGE(""https://docs.google.com/spreadsheets/d/11923uPwbBZFjjGgGUA6NLw09EwE0CqkOc4q9oUmW1yo/edit?usp=sharing"",""กำแพงเพชร!J392"")"),0)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IFERROR(__xludf.DUMMYFUNCTION("IMPORTRANGE(""https://docs.google.com/spreadsheets/d/11923uPwbBZFjjGgGUA6NLw09EwE0CqkOc4q9oUmW1yo/edit?usp=sharing"",""กำแพงเพชร!I393"")"),5005)</f>
        <v>5005</v>
      </c>
      <c r="J498" s="428">
        <f ca="1">IFERROR(__xludf.DUMMYFUNCTION("IMPORTRANGE(""https://docs.google.com/spreadsheets/d/11923uPwbBZFjjGgGUA6NLw09EwE0CqkOc4q9oUmW1yo/edit?usp=sharing"",""กำแพงเพชร!J393"")"),0)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IFERROR(__xludf.DUMMYFUNCTION("IMPORTRANGE(""https://docs.google.com/spreadsheets/d/11923uPwbBZFjjGgGUA6NLw09EwE0CqkOc4q9oUmW1yo/edit?usp=sharing"",""กำแพงเพชร!I394"")"),493)</f>
        <v>493</v>
      </c>
      <c r="J499" s="428">
        <f ca="1">IFERROR(__xludf.DUMMYFUNCTION("IMPORTRANGE(""https://docs.google.com/spreadsheets/d/11923uPwbBZFjjGgGUA6NLw09EwE0CqkOc4q9oUmW1yo/edit?usp=sharing"",""กำแพงเพชร!J394"")"),0)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IFERROR(__xludf.DUMMYFUNCTION("IMPORTRANGE(""https://docs.google.com/spreadsheets/d/11923uPwbBZFjjGgGUA6NLw09EwE0CqkOc4q9oUmW1yo/edit?usp=sharing"",""กำแพงเพชร!I395"")"),0)</f>
        <v>0</v>
      </c>
      <c r="J500" s="170">
        <f ca="1">IFERROR(__xludf.DUMMYFUNCTION("IMPORTRANGE(""https://docs.google.com/spreadsheets/d/11923uPwbBZFjjGgGUA6NLw09EwE0CqkOc4q9oUmW1yo/edit?usp=sharing"",""กำแพงเพชร!J395"")"),0)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IFERROR(__xludf.DUMMYFUNCTION("IMPORTRANGE(""https://docs.google.com/spreadsheets/d/11923uPwbBZFjjGgGUA6NLw09EwE0CqkOc4q9oUmW1yo/edit?usp=sharing"",""กำแพงเพชร!I396"")"),0)</f>
        <v>0</v>
      </c>
      <c r="J501" s="170">
        <f ca="1">IFERROR(__xludf.DUMMYFUNCTION("IMPORTRANGE(""https://docs.google.com/spreadsheets/d/11923uPwbBZFjjGgGUA6NLw09EwE0CqkOc4q9oUmW1yo/edit?usp=sharing"",""กำแพงเพชร!J396"")"),0)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IFERROR(__xludf.DUMMYFUNCTION("IMPORTRANGE(""https://docs.google.com/spreadsheets/d/11923uPwbBZFjjGgGUA6NLw09EwE0CqkOc4q9oUmW1yo/edit?usp=sharing"",""กำแพงเพชร!I397"")"),0)</f>
        <v>0</v>
      </c>
      <c r="J502" s="198">
        <f ca="1">IFERROR(__xludf.DUMMYFUNCTION("IMPORTRANGE(""https://docs.google.com/spreadsheets/d/11923uPwbBZFjjGgGUA6NLw09EwE0CqkOc4q9oUmW1yo/edit?usp=sharing"",""กำแพงเพชร!J397"")"),0)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IFERROR(__xludf.DUMMYFUNCTION("IMPORTRANGE(""https://docs.google.com/spreadsheets/d/11923uPwbBZFjjGgGUA6NLw09EwE0CqkOc4q9oUmW1yo/edit?usp=sharing"",""กำแพงเพชร!I398"")"),0)</f>
        <v>0</v>
      </c>
      <c r="J503" s="207">
        <f ca="1">IFERROR(__xludf.DUMMYFUNCTION("IMPORTRANGE(""https://docs.google.com/spreadsheets/d/11923uPwbBZFjjGgGUA6NLw09EwE0CqkOc4q9oUmW1yo/edit?usp=sharing"",""กำแพงเพชร!J398"")"),0)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IFERROR(__xludf.DUMMYFUNCTION("IMPORTRANGE(""https://docs.google.com/spreadsheets/d/11923uPwbBZFjjGgGUA6NLw09EwE0CqkOc4q9oUmW1yo/edit?usp=sharing"",""กำแพงเพชร!I399"")"),0)</f>
        <v>0</v>
      </c>
      <c r="J504" s="198">
        <f ca="1">IFERROR(__xludf.DUMMYFUNCTION("IMPORTRANGE(""https://docs.google.com/spreadsheets/d/11923uPwbBZFjjGgGUA6NLw09EwE0CqkOc4q9oUmW1yo/edit?usp=sharing"",""กำแพงเพชร!J399"")"),0)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IFERROR(__xludf.DUMMYFUNCTION("IMPORTRANGE(""https://docs.google.com/spreadsheets/d/11923uPwbBZFjjGgGUA6NLw09EwE0CqkOc4q9oUmW1yo/edit?usp=sharing"",""กำแพงเพชร!I400"")"),0)</f>
        <v>0</v>
      </c>
      <c r="J505" s="207">
        <f ca="1">IFERROR(__xludf.DUMMYFUNCTION("IMPORTRANGE(""https://docs.google.com/spreadsheets/d/11923uPwbBZFjjGgGUA6NLw09EwE0CqkOc4q9oUmW1yo/edit?usp=sharing"",""กำแพงเพชร!J400"")"),0)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IFERROR(__xludf.DUMMYFUNCTION("IMPORTRANGE(""https://docs.google.com/spreadsheets/d/11923uPwbBZFjjGgGUA6NLw09EwE0CqkOc4q9oUmW1yo/edit?usp=sharing"",""กำแพงเพชร!I401"")"),0)</f>
        <v>0</v>
      </c>
      <c r="J506" s="198">
        <f ca="1">IFERROR(__xludf.DUMMYFUNCTION("IMPORTRANGE(""https://docs.google.com/spreadsheets/d/11923uPwbBZFjjGgGUA6NLw09EwE0CqkOc4q9oUmW1yo/edit?usp=sharing"",""กำแพงเพชร!J401"")"),0)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IFERROR(__xludf.DUMMYFUNCTION("IMPORTRANGE(""https://docs.google.com/spreadsheets/d/11923uPwbBZFjjGgGUA6NLw09EwE0CqkOc4q9oUmW1yo/edit?usp=sharing"",""กำแพงเพชร!I402"")"),0)</f>
        <v>0</v>
      </c>
      <c r="J507" s="207">
        <f ca="1">IFERROR(__xludf.DUMMYFUNCTION("IMPORTRANGE(""https://docs.google.com/spreadsheets/d/11923uPwbBZFjjGgGUA6NLw09EwE0CqkOc4q9oUmW1yo/edit?usp=sharing"",""กำแพงเพชร!J402"")"),0)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IFERROR(__xludf.DUMMYFUNCTION("IMPORTRANGE(""https://docs.google.com/spreadsheets/d/11923uPwbBZFjjGgGUA6NLw09EwE0CqkOc4q9oUmW1yo/edit?usp=sharing"",""กำแพงเพชร!I403"")"),0)</f>
        <v>0</v>
      </c>
      <c r="J508" s="170">
        <f ca="1">IFERROR(__xludf.DUMMYFUNCTION("IMPORTRANGE(""https://docs.google.com/spreadsheets/d/11923uPwbBZFjjGgGUA6NLw09EwE0CqkOc4q9oUmW1yo/edit?usp=sharing"",""กำแพงเพชร!J403"")"),0)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IFERROR(__xludf.DUMMYFUNCTION("IMPORTRANGE(""https://docs.google.com/spreadsheets/d/11923uPwbBZFjjGgGUA6NLw09EwE0CqkOc4q9oUmW1yo/edit?usp=sharing"",""กำแพงเพชร!I404"")"),0)</f>
        <v>0</v>
      </c>
      <c r="J509" s="170">
        <f ca="1">IFERROR(__xludf.DUMMYFUNCTION("IMPORTRANGE(""https://docs.google.com/spreadsheets/d/11923uPwbBZFjjGgGUA6NLw09EwE0CqkOc4q9oUmW1yo/edit?usp=sharing"",""กำแพงเพชร!J404"")"),0)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IFERROR(__xludf.DUMMYFUNCTION("IMPORTRANGE(""https://docs.google.com/spreadsheets/d/11923uPwbBZFjjGgGUA6NLw09EwE0CqkOc4q9oUmW1yo/edit?usp=sharing"",""กำแพงเพชร!I405"")"),0)</f>
        <v>0</v>
      </c>
      <c r="J510" s="207">
        <f ca="1">IFERROR(__xludf.DUMMYFUNCTION("IMPORTRANGE(""https://docs.google.com/spreadsheets/d/11923uPwbBZFjjGgGUA6NLw09EwE0CqkOc4q9oUmW1yo/edit?usp=sharing"",""กำแพงเพชร!J405"")"),0)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IFERROR(__xludf.DUMMYFUNCTION("IMPORTRANGE(""https://docs.google.com/spreadsheets/d/11923uPwbBZFjjGgGUA6NLw09EwE0CqkOc4q9oUmW1yo/edit?usp=sharing"",""กำแพงเพชร!I406"")"),0)</f>
        <v>0</v>
      </c>
      <c r="J511" s="207">
        <f ca="1">IFERROR(__xludf.DUMMYFUNCTION("IMPORTRANGE(""https://docs.google.com/spreadsheets/d/11923uPwbBZFjjGgGUA6NLw09EwE0CqkOc4q9oUmW1yo/edit?usp=sharing"",""กำแพงเพชร!J406"")"),0)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IFERROR(__xludf.DUMMYFUNCTION("IMPORTRANGE(""https://docs.google.com/spreadsheets/d/11923uPwbBZFjjGgGUA6NLw09EwE0CqkOc4q9oUmW1yo/edit?usp=sharing"",""กำแพงเพชร!I407"")"),0)</f>
        <v>0</v>
      </c>
      <c r="J512" s="207">
        <f ca="1">IFERROR(__xludf.DUMMYFUNCTION("IMPORTRANGE(""https://docs.google.com/spreadsheets/d/11923uPwbBZFjjGgGUA6NLw09EwE0CqkOc4q9oUmW1yo/edit?usp=sharing"",""กำแพงเพชร!J407"")"),0)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IFERROR(__xludf.DUMMYFUNCTION("IMPORTRANGE(""https://docs.google.com/spreadsheets/d/11923uPwbBZFjjGgGUA6NLw09EwE0CqkOc4q9oUmW1yo/edit?usp=sharing"",""กำแพงเพชร!I408"")"),0)</f>
        <v>0</v>
      </c>
      <c r="J513" s="207">
        <f ca="1">IFERROR(__xludf.DUMMYFUNCTION("IMPORTRANGE(""https://docs.google.com/spreadsheets/d/11923uPwbBZFjjGgGUA6NLw09EwE0CqkOc4q9oUmW1yo/edit?usp=sharing"",""กำแพงเพชร!J408"")"),0)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IFERROR(__xludf.DUMMYFUNCTION("IMPORTRANGE(""https://docs.google.com/spreadsheets/d/11923uPwbBZFjjGgGUA6NLw09EwE0CqkOc4q9oUmW1yo/edit?usp=sharing"",""กำแพงเพชร!I409"")"),0)</f>
        <v>0</v>
      </c>
      <c r="J514" s="207">
        <f ca="1">IFERROR(__xludf.DUMMYFUNCTION("IMPORTRANGE(""https://docs.google.com/spreadsheets/d/11923uPwbBZFjjGgGUA6NLw09EwE0CqkOc4q9oUmW1yo/edit?usp=sharing"",""กำแพงเพชร!J409"")"),0)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IFERROR(__xludf.DUMMYFUNCTION("IMPORTRANGE(""https://docs.google.com/spreadsheets/d/11923uPwbBZFjjGgGUA6NLw09EwE0CqkOc4q9oUmW1yo/edit?usp=sharing"",""กำแพงเพชร!I410"")"),0)</f>
        <v>0</v>
      </c>
      <c r="J515" s="207">
        <f ca="1">IFERROR(__xludf.DUMMYFUNCTION("IMPORTRANGE(""https://docs.google.com/spreadsheets/d/11923uPwbBZFjjGgGUA6NLw09EwE0CqkOc4q9oUmW1yo/edit?usp=sharing"",""กำแพงเพชร!J410"")"),0)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IFERROR(__xludf.DUMMYFUNCTION("IMPORTRANGE(""https://docs.google.com/spreadsheets/d/11923uPwbBZFjjGgGUA6NLw09EwE0CqkOc4q9oUmW1yo/edit?usp=sharing"",""กำแพงเพชร!I411"")"),0)</f>
        <v>0</v>
      </c>
      <c r="J516" s="276">
        <f ca="1">IFERROR(__xludf.DUMMYFUNCTION("IMPORTRANGE(""https://docs.google.com/spreadsheets/d/11923uPwbBZFjjGgGUA6NLw09EwE0CqkOc4q9oUmW1yo/edit?usp=sharing"",""กำแพงเพชร!J411"")"),0)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IFERROR(__xludf.DUMMYFUNCTION("IMPORTRANGE(""https://docs.google.com/spreadsheets/d/11923uPwbBZFjjGgGUA6NLw09EwE0CqkOc4q9oUmW1yo/edit?usp=sharing"",""กำแพงเพชร!I412"")"),0)</f>
        <v>0</v>
      </c>
      <c r="J517" s="292">
        <f ca="1">IFERROR(__xludf.DUMMYFUNCTION("IMPORTRANGE(""https://docs.google.com/spreadsheets/d/11923uPwbBZFjjGgGUA6NLw09EwE0CqkOc4q9oUmW1yo/edit?usp=sharing"",""กำแพงเพชร!J412"")"),0)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IFERROR(__xludf.DUMMYFUNCTION("IMPORTRANGE(""https://docs.google.com/spreadsheets/d/11923uPwbBZFjjGgGUA6NLw09EwE0CqkOc4q9oUmW1yo/edit?usp=sharing"",""กำแพงเพชร!I413"")"),0)</f>
        <v>0</v>
      </c>
      <c r="J518" s="292">
        <f ca="1">IFERROR(__xludf.DUMMYFUNCTION("IMPORTRANGE(""https://docs.google.com/spreadsheets/d/11923uPwbBZFjjGgGUA6NLw09EwE0CqkOc4q9oUmW1yo/edit?usp=sharing"",""กำแพงเพชร!J413"")"),0)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IFERROR(__xludf.DUMMYFUNCTION("IMPORTRANGE(""https://docs.google.com/spreadsheets/d/11923uPwbBZFjjGgGUA6NLw09EwE0CqkOc4q9oUmW1yo/edit?usp=sharing"",""กำแพงเพชร!I414"")"),0)</f>
        <v>0</v>
      </c>
      <c r="J519" s="197">
        <f ca="1">IFERROR(__xludf.DUMMYFUNCTION("IMPORTRANGE(""https://docs.google.com/spreadsheets/d/11923uPwbBZFjjGgGUA6NLw09EwE0CqkOc4q9oUmW1yo/edit?usp=sharing"",""กำแพงเพชร!J414"")"),0)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IFERROR(__xludf.DUMMYFUNCTION("IMPORTRANGE(""https://docs.google.com/spreadsheets/d/11923uPwbBZFjjGgGUA6NLw09EwE0CqkOc4q9oUmW1yo/edit?usp=sharing"",""กำแพงเพชร!I415"")"),0)</f>
        <v>0</v>
      </c>
      <c r="J520" s="197">
        <f ca="1">IFERROR(__xludf.DUMMYFUNCTION("IMPORTRANGE(""https://docs.google.com/spreadsheets/d/11923uPwbBZFjjGgGUA6NLw09EwE0CqkOc4q9oUmW1yo/edit?usp=sharing"",""กำแพงเพชร!J415"")"),0)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IFERROR(__xludf.DUMMYFUNCTION("IMPORTRANGE(""https://docs.google.com/spreadsheets/d/11923uPwbBZFjjGgGUA6NLw09EwE0CqkOc4q9oUmW1yo/edit?usp=sharing"",""กำแพงเพชร!I416"")"),0)</f>
        <v>0</v>
      </c>
      <c r="J521" s="197">
        <f ca="1">IFERROR(__xludf.DUMMYFUNCTION("IMPORTRANGE(""https://docs.google.com/spreadsheets/d/11923uPwbBZFjjGgGUA6NLw09EwE0CqkOc4q9oUmW1yo/edit?usp=sharing"",""กำแพงเพชร!J416"")"),0)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IFERROR(__xludf.DUMMYFUNCTION("IMPORTRANGE(""https://docs.google.com/spreadsheets/d/11923uPwbBZFjjGgGUA6NLw09EwE0CqkOc4q9oUmW1yo/edit?usp=sharing"",""กำแพงเพชร!I417"")"),0)</f>
        <v>0</v>
      </c>
      <c r="J522" s="197">
        <f ca="1">IFERROR(__xludf.DUMMYFUNCTION("IMPORTRANGE(""https://docs.google.com/spreadsheets/d/11923uPwbBZFjjGgGUA6NLw09EwE0CqkOc4q9oUmW1yo/edit?usp=sharing"",""กำแพงเพชร!J417"")"),0)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IFERROR(__xludf.DUMMYFUNCTION("IMPORTRANGE(""https://docs.google.com/spreadsheets/d/11923uPwbBZFjjGgGUA6NLw09EwE0CqkOc4q9oUmW1yo/edit?usp=sharing"",""กำแพงเพชร!I418"")"),0)</f>
        <v>0</v>
      </c>
      <c r="J523" s="197">
        <f ca="1">IFERROR(__xludf.DUMMYFUNCTION("IMPORTRANGE(""https://docs.google.com/spreadsheets/d/11923uPwbBZFjjGgGUA6NLw09EwE0CqkOc4q9oUmW1yo/edit?usp=sharing"",""กำแพงเพชร!J418"")"),0)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IFERROR(__xludf.DUMMYFUNCTION("IMPORTRANGE(""https://docs.google.com/spreadsheets/d/11923uPwbBZFjjGgGUA6NLw09EwE0CqkOc4q9oUmW1yo/edit?usp=sharing"",""กำแพงเพชร!I419"")"),0)</f>
        <v>0</v>
      </c>
      <c r="J524" s="197">
        <f ca="1">IFERROR(__xludf.DUMMYFUNCTION("IMPORTRANGE(""https://docs.google.com/spreadsheets/d/11923uPwbBZFjjGgGUA6NLw09EwE0CqkOc4q9oUmW1yo/edit?usp=sharing"",""กำแพงเพชร!J419"")"),0)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IFERROR(__xludf.DUMMYFUNCTION("IMPORTRANGE(""https://docs.google.com/spreadsheets/d/11923uPwbBZFjjGgGUA6NLw09EwE0CqkOc4q9oUmW1yo/edit?usp=sharing"",""กำแพงเพชร!I420"")"),0)</f>
        <v>0</v>
      </c>
      <c r="J525" s="292">
        <f ca="1">IFERROR(__xludf.DUMMYFUNCTION("IMPORTRANGE(""https://docs.google.com/spreadsheets/d/11923uPwbBZFjjGgGUA6NLw09EwE0CqkOc4q9oUmW1yo/edit?usp=sharing"",""กำแพงเพชร!J420"")"),0)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IFERROR(__xludf.DUMMYFUNCTION("IMPORTRANGE(""https://docs.google.com/spreadsheets/d/11923uPwbBZFjjGgGUA6NLw09EwE0CqkOc4q9oUmW1yo/edit?usp=sharing"",""กำแพงเพชร!I421"")"),0)</f>
        <v>0</v>
      </c>
      <c r="J526" s="292">
        <f ca="1">IFERROR(__xludf.DUMMYFUNCTION("IMPORTRANGE(""https://docs.google.com/spreadsheets/d/11923uPwbBZFjjGgGUA6NLw09EwE0CqkOc4q9oUmW1yo/edit?usp=sharing"",""กำแพงเพชร!J421"")"),0)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IFERROR(__xludf.DUMMYFUNCTION("IMPORTRANGE(""https://docs.google.com/spreadsheets/d/11923uPwbBZFjjGgGUA6NLw09EwE0CqkOc4q9oUmW1yo/edit?usp=sharing"",""กำแพงเพชร!I422"")"),0)</f>
        <v>0</v>
      </c>
      <c r="J527" s="207">
        <f ca="1">IFERROR(__xludf.DUMMYFUNCTION("IMPORTRANGE(""https://docs.google.com/spreadsheets/d/11923uPwbBZFjjGgGUA6NLw09EwE0CqkOc4q9oUmW1yo/edit?usp=sharing"",""กำแพงเพชร!J422"")"),0)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IFERROR(__xludf.DUMMYFUNCTION("IMPORTRANGE(""https://docs.google.com/spreadsheets/d/11923uPwbBZFjjGgGUA6NLw09EwE0CqkOc4q9oUmW1yo/edit?usp=sharing"",""กำแพงเพชร!I423"")"),0)</f>
        <v>0</v>
      </c>
      <c r="J528" s="207">
        <f ca="1">IFERROR(__xludf.DUMMYFUNCTION("IMPORTRANGE(""https://docs.google.com/spreadsheets/d/11923uPwbBZFjjGgGUA6NLw09EwE0CqkOc4q9oUmW1yo/edit?usp=sharing"",""กำแพงเพชร!J423"")"),0)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IFERROR(__xludf.DUMMYFUNCTION("IMPORTRANGE(""https://docs.google.com/spreadsheets/d/11923uPwbBZFjjGgGUA6NLw09EwE0CqkOc4q9oUmW1yo/edit?usp=sharing"",""กำแพงเพชร!I424"")"),0)</f>
        <v>0</v>
      </c>
      <c r="J529" s="207">
        <f ca="1">IFERROR(__xludf.DUMMYFUNCTION("IMPORTRANGE(""https://docs.google.com/spreadsheets/d/11923uPwbBZFjjGgGUA6NLw09EwE0CqkOc4q9oUmW1yo/edit?usp=sharing"",""กำแพงเพชร!J424"")"),0)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IFERROR(__xludf.DUMMYFUNCTION("IMPORTRANGE(""https://docs.google.com/spreadsheets/d/11923uPwbBZFjjGgGUA6NLw09EwE0CqkOc4q9oUmW1yo/edit?usp=sharing"",""กำแพงเพชร!I425"")"),0)</f>
        <v>0</v>
      </c>
      <c r="J530" s="207">
        <f ca="1">IFERROR(__xludf.DUMMYFUNCTION("IMPORTRANGE(""https://docs.google.com/spreadsheets/d/11923uPwbBZFjjGgGUA6NLw09EwE0CqkOc4q9oUmW1yo/edit?usp=sharing"",""กำแพงเพชร!J425"")"),0)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IFERROR(__xludf.DUMMYFUNCTION("IMPORTRANGE(""https://docs.google.com/spreadsheets/d/11923uPwbBZFjjGgGUA6NLw09EwE0CqkOc4q9oUmW1yo/edit?usp=sharing"",""กำแพงเพชร!I426"")"),0)</f>
        <v>0</v>
      </c>
      <c r="J531" s="207">
        <f ca="1">IFERROR(__xludf.DUMMYFUNCTION("IMPORTRANGE(""https://docs.google.com/spreadsheets/d/11923uPwbBZFjjGgGUA6NLw09EwE0CqkOc4q9oUmW1yo/edit?usp=sharing"",""กำแพงเพชร!J426"")"),0)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IFERROR(__xludf.DUMMYFUNCTION("IMPORTRANGE(""https://docs.google.com/spreadsheets/d/11923uPwbBZFjjGgGUA6NLw09EwE0CqkOc4q9oUmW1yo/edit?usp=sharing"",""กำแพงเพชร!I427"")"),0)</f>
        <v>0</v>
      </c>
      <c r="J532" s="474">
        <f ca="1">IFERROR(__xludf.DUMMYFUNCTION("IMPORTRANGE(""https://docs.google.com/spreadsheets/d/11923uPwbBZFjjGgGUA6NLw09EwE0CqkOc4q9oUmW1yo/edit?usp=sharing"",""กำแพงเพชร!J427"")"),0)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IFERROR(__xludf.DUMMYFUNCTION("IMPORTRANGE(""https://docs.google.com/spreadsheets/d/11923uPwbBZFjjGgGUA6NLw09EwE0CqkOc4q9oUmW1yo/edit?usp=sharing"",""กำแพงเพชร!I428"")"),22)</f>
        <v>22</v>
      </c>
      <c r="J533" s="418">
        <f ca="1">IFERROR(__xludf.DUMMYFUNCTION("IMPORTRANGE(""https://docs.google.com/spreadsheets/d/11923uPwbBZFjjGgGUA6NLw09EwE0CqkOc4q9oUmW1yo/edit?usp=sharing"",""กำแพงเพชร!J428"")"),22)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IFERROR(__xludf.DUMMYFUNCTION("IMPORTRANGE(""https://docs.google.com/spreadsheets/d/11923uPwbBZFjjGgGUA6NLw09EwE0CqkOc4q9oUmW1yo/edit?usp=sharing"",""กำแพงเพชร!L428"")"),34350)</f>
        <v>34350</v>
      </c>
      <c r="M533" s="420"/>
      <c r="N533" s="420">
        <f ca="1">IFERROR(__xludf.DUMMYFUNCTION("IMPORTRANGE(""https://docs.google.com/spreadsheets/d/11923uPwbBZFjjGgGUA6NLw09EwE0CqkOc4q9oUmW1yo/edit?usp=sharing"",""กำแพงเพชร!M428"")"),29825)</f>
        <v>29825</v>
      </c>
      <c r="O533" s="420">
        <f t="shared" ref="O533:O537" ca="1" si="118">+IF(L533&gt;0,N533*100/L533,0)</f>
        <v>86.826783114992722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IFERROR(__xludf.DUMMYFUNCTION("IMPORTRANGE(""https://docs.google.com/spreadsheets/d/11923uPwbBZFjjGgGUA6NLw09EwE0CqkOc4q9oUmW1yo/edit?usp=sharing"",""กำแพงเพชร!L429"")"),0)</f>
        <v>0</v>
      </c>
      <c r="M534" s="172"/>
      <c r="N534" s="178">
        <f ca="1">IFERROR(__xludf.DUMMYFUNCTION("IMPORTRANGE(""https://docs.google.com/spreadsheets/d/11923uPwbBZFjjGgGUA6NLw09EwE0CqkOc4q9oUmW1yo/edit?usp=sharing"",""กำแพงเพชร!M429"")"),0)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IFERROR(__xludf.DUMMYFUNCTION("IMPORTRANGE(""https://docs.google.com/spreadsheets/d/11923uPwbBZFjjGgGUA6NLw09EwE0CqkOc4q9oUmW1yo/edit?usp=sharing"",""กำแพงเพชร!L430"")"),34350)</f>
        <v>34350</v>
      </c>
      <c r="M535" s="173"/>
      <c r="N535" s="178">
        <f ca="1">IFERROR(__xludf.DUMMYFUNCTION("IMPORTRANGE(""https://docs.google.com/spreadsheets/d/11923uPwbBZFjjGgGUA6NLw09EwE0CqkOc4q9oUmW1yo/edit?usp=sharing"",""กำแพงเพชร!M430"")"),29825)</f>
        <v>29825</v>
      </c>
      <c r="O535" s="178">
        <f t="shared" ca="1" si="118"/>
        <v>86.826783114992722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IFERROR(__xludf.DUMMYFUNCTION("IMPORTRANGE(""https://docs.google.com/spreadsheets/d/11923uPwbBZFjjGgGUA6NLw09EwE0CqkOc4q9oUmW1yo/edit?usp=sharing"",""กำแพงเพชร!L431"")"),0)</f>
        <v>0</v>
      </c>
      <c r="M536" s="178"/>
      <c r="N536" s="178">
        <f ca="1">IFERROR(__xludf.DUMMYFUNCTION("IMPORTRANGE(""https://docs.google.com/spreadsheets/d/11923uPwbBZFjjGgGUA6NLw09EwE0CqkOc4q9oUmW1yo/edit?usp=sharing"",""กำแพงเพชร!M431"")"),0)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IFERROR(__xludf.DUMMYFUNCTION("IMPORTRANGE(""https://docs.google.com/spreadsheets/d/11923uPwbBZFjjGgGUA6NLw09EwE0CqkOc4q9oUmW1yo/edit?usp=sharing"",""กำแพงเพชร!L432"")"),34350)</f>
        <v>34350</v>
      </c>
      <c r="M537" s="178"/>
      <c r="N537" s="178">
        <f ca="1">IFERROR(__xludf.DUMMYFUNCTION("IMPORTRANGE(""https://docs.google.com/spreadsheets/d/11923uPwbBZFjjGgGUA6NLw09EwE0CqkOc4q9oUmW1yo/edit?usp=sharing"",""กำแพงเพชร!M432"")"),29825)</f>
        <v>29825</v>
      </c>
      <c r="O537" s="178">
        <f t="shared" ca="1" si="118"/>
        <v>86.826783114992722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IFERROR(__xludf.DUMMYFUNCTION("IMPORTRANGE(""https://docs.google.com/spreadsheets/d/11923uPwbBZFjjGgGUA6NLw09EwE0CqkOc4q9oUmW1yo/edit?usp=sharing"",""กำแพงเพชร!M433"")"),20160)</f>
        <v>20160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IFERROR(__xludf.DUMMYFUNCTION("IMPORTRANGE(""https://docs.google.com/spreadsheets/d/11923uPwbBZFjjGgGUA6NLw09EwE0CqkOc4q9oUmW1yo/edit?usp=sharing"",""กำแพงเพชร!M434"")"),0)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IFERROR(__xludf.DUMMYFUNCTION("IMPORTRANGE(""https://docs.google.com/spreadsheets/d/11923uPwbBZFjjGgGUA6NLw09EwE0CqkOc4q9oUmW1yo/edit?usp=sharing"",""กำแพงเพชร!M435"")"),0)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IFERROR(__xludf.DUMMYFUNCTION("IMPORTRANGE(""https://docs.google.com/spreadsheets/d/11923uPwbBZFjjGgGUA6NLw09EwE0CqkOc4q9oUmW1yo/edit?usp=sharing"",""กำแพงเพชร!M436"")"),9665)</f>
        <v>9665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IFERROR(__xludf.DUMMYFUNCTION("IMPORTRANGE(""https://docs.google.com/spreadsheets/d/11923uPwbBZFjjGgGUA6NLw09EwE0CqkOc4q9oUmW1yo/edit?usp=sharing"",""กำแพงเพชร!J438"")"),0)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IFERROR(__xludf.DUMMYFUNCTION("IMPORTRANGE(""https://docs.google.com/spreadsheets/d/11923uPwbBZFjjGgGUA6NLw09EwE0CqkOc4q9oUmW1yo/edit?usp=sharing"",""กำแพงเพชร!J439"")"),1)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IFERROR(__xludf.DUMMYFUNCTION("IMPORTRANGE(""https://docs.google.com/spreadsheets/d/11923uPwbBZFjjGgGUA6NLw09EwE0CqkOc4q9oUmW1yo/edit?usp=sharing"",""กำแพงเพชร!J440"")"),1)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IFERROR(__xludf.DUMMYFUNCTION("IMPORTRANGE(""https://docs.google.com/spreadsheets/d/11923uPwbBZFjjGgGUA6NLw09EwE0CqkOc4q9oUmW1yo/edit?usp=sharing"",""กำแพงเพชร!J441"")"),1)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IFERROR(__xludf.DUMMYFUNCTION("IMPORTRANGE(""https://docs.google.com/spreadsheets/d/11923uPwbBZFjjGgGUA6NLw09EwE0CqkOc4q9oUmW1yo/edit?usp=sharing"",""กำแพงเพชร!I442"")"),22)</f>
        <v>22</v>
      </c>
      <c r="J547" s="198">
        <f ca="1">IFERROR(__xludf.DUMMYFUNCTION("IMPORTRANGE(""https://docs.google.com/spreadsheets/d/11923uPwbBZFjjGgGUA6NLw09EwE0CqkOc4q9oUmW1yo/edit?usp=sharing"",""กำแพงเพชร!J442"")"),22)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IFERROR(__xludf.DUMMYFUNCTION("IMPORTRANGE(""https://docs.google.com/spreadsheets/d/11923uPwbBZFjjGgGUA6NLw09EwE0CqkOc4q9oUmW1yo/edit?usp=sharing"",""กำแพงเพชร!J166"")"),0)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IFERROR(__xludf.DUMMYFUNCTION("IMPORTRANGE(""https://docs.google.com/spreadsheets/d/11923uPwbBZFjjGgGUA6NLw09EwE0CqkOc4q9oUmW1yo/edit?usp=sharing"",""กำแพงเพชร!J444"")"),0)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IFERROR(__xludf.DUMMYFUNCTION("IMPORTRANGE(""https://docs.google.com/spreadsheets/d/11923uPwbBZFjjGgGUA6NLw09EwE0CqkOc4q9oUmW1yo/edit?usp=sharing"",""กำแพงเพชร!J445"")"),0)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IFERROR(__xludf.DUMMYFUNCTION("IMPORTRANGE(""https://docs.google.com/spreadsheets/d/11923uPwbBZFjjGgGUA6NLw09EwE0CqkOc4q9oUmW1yo/edit?usp=sharing"",""กำแพงเพชร!I446"")"),5000)</f>
        <v>5000</v>
      </c>
      <c r="J551" s="418">
        <f ca="1">IFERROR(__xludf.DUMMYFUNCTION("IMPORTRANGE(""https://docs.google.com/spreadsheets/d/11923uPwbBZFjjGgGUA6NLw09EwE0CqkOc4q9oUmW1yo/edit?usp=sharing"",""กำแพงเพชร!J446"")"),0)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IFERROR(__xludf.DUMMYFUNCTION("IMPORTRANGE(""https://docs.google.com/spreadsheets/d/11923uPwbBZFjjGgGUA6NLw09EwE0CqkOc4q9oUmW1yo/edit?usp=sharing"",""กำแพงเพชร!L446"")"),320000)</f>
        <v>320000</v>
      </c>
      <c r="M551" s="420"/>
      <c r="N551" s="420">
        <f ca="1">IFERROR(__xludf.DUMMYFUNCTION("IMPORTRANGE(""https://docs.google.com/spreadsheets/d/11923uPwbBZFjjGgGUA6NLw09EwE0CqkOc4q9oUmW1yo/edit?usp=sharing"",""กำแพงเพชร!M446"")"),0)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IFERROR(__xludf.DUMMYFUNCTION("IMPORTRANGE(""https://docs.google.com/spreadsheets/d/11923uPwbBZFjjGgGUA6NLw09EwE0CqkOc4q9oUmW1yo/edit?usp=sharing"",""กำแพงเพชร!L447"")"),0)</f>
        <v>0</v>
      </c>
      <c r="M552" s="172"/>
      <c r="N552" s="178">
        <f ca="1">IFERROR(__xludf.DUMMYFUNCTION("IMPORTRANGE(""https://docs.google.com/spreadsheets/d/11923uPwbBZFjjGgGUA6NLw09EwE0CqkOc4q9oUmW1yo/edit?usp=sharing"",""กำแพงเพชร!M447"")"),0)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IFERROR(__xludf.DUMMYFUNCTION("IMPORTRANGE(""https://docs.google.com/spreadsheets/d/11923uPwbBZFjjGgGUA6NLw09EwE0CqkOc4q9oUmW1yo/edit?usp=sharing"",""กำแพงเพชร!L448"")"),320000)</f>
        <v>320000</v>
      </c>
      <c r="M553" s="173"/>
      <c r="N553" s="178">
        <f ca="1">IFERROR(__xludf.DUMMYFUNCTION("IMPORTRANGE(""https://docs.google.com/spreadsheets/d/11923uPwbBZFjjGgGUA6NLw09EwE0CqkOc4q9oUmW1yo/edit?usp=sharing"",""กำแพงเพชร!M448"")"),0)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IFERROR(__xludf.DUMMYFUNCTION("IMPORTRANGE(""https://docs.google.com/spreadsheets/d/11923uPwbBZFjjGgGUA6NLw09EwE0CqkOc4q9oUmW1yo/edit?usp=sharing"",""กำแพงเพชร!L449"")"),0)</f>
        <v>0</v>
      </c>
      <c r="M554" s="178"/>
      <c r="N554" s="178">
        <f ca="1">IFERROR(__xludf.DUMMYFUNCTION("IMPORTRANGE(""https://docs.google.com/spreadsheets/d/11923uPwbBZFjjGgGUA6NLw09EwE0CqkOc4q9oUmW1yo/edit?usp=sharing"",""กำแพงเพชร!M449"")"),0)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IFERROR(__xludf.DUMMYFUNCTION("IMPORTRANGE(""https://docs.google.com/spreadsheets/d/11923uPwbBZFjjGgGUA6NLw09EwE0CqkOc4q9oUmW1yo/edit?usp=sharing"",""กำแพงเพชร!L450"")"),320000)</f>
        <v>320000</v>
      </c>
      <c r="M555" s="178"/>
      <c r="N555" s="178">
        <f ca="1">IFERROR(__xludf.DUMMYFUNCTION("IMPORTRANGE(""https://docs.google.com/spreadsheets/d/11923uPwbBZFjjGgGUA6NLw09EwE0CqkOc4q9oUmW1yo/edit?usp=sharing"",""กำแพงเพชร!M450"")"),0)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IFERROR(__xludf.DUMMYFUNCTION("IMPORTRANGE(""https://docs.google.com/spreadsheets/d/11923uPwbBZFjjGgGUA6NLw09EwE0CqkOc4q9oUmW1yo/edit?usp=sharing"",""กำแพงเพชร!M451"")"),0)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IFERROR(__xludf.DUMMYFUNCTION("IMPORTRANGE(""https://docs.google.com/spreadsheets/d/11923uPwbBZFjjGgGUA6NLw09EwE0CqkOc4q9oUmW1yo/edit?usp=sharing"",""กำแพงเพชร!M452"")"),0)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IFERROR(__xludf.DUMMYFUNCTION("IMPORTRANGE(""https://docs.google.com/spreadsheets/d/11923uPwbBZFjjGgGUA6NLw09EwE0CqkOc4q9oUmW1yo/edit?usp=sharing"",""กำแพงเพชร!M453"")"),0)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IFERROR(__xludf.DUMMYFUNCTION("IMPORTRANGE(""https://docs.google.com/spreadsheets/d/11923uPwbBZFjjGgGUA6NLw09EwE0CqkOc4q9oUmW1yo/edit?usp=sharing"",""กำแพงเพชร!M454"")"),0)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IFERROR(__xludf.DUMMYFUNCTION("IMPORTRANGE(""https://docs.google.com/spreadsheets/d/11923uPwbBZFjjGgGUA6NLw09EwE0CqkOc4q9oUmW1yo/edit?usp=sharing"",""กำแพงเพชร!I455"")"),5000)</f>
        <v>5000</v>
      </c>
      <c r="J560" s="170">
        <f ca="1">IFERROR(__xludf.DUMMYFUNCTION("IMPORTRANGE(""https://docs.google.com/spreadsheets/d/11923uPwbBZFjjGgGUA6NLw09EwE0CqkOc4q9oUmW1yo/edit?usp=sharing"",""กำแพงเพชร!J455"")"),0)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IFERROR(__xludf.DUMMYFUNCTION("IMPORTRANGE(""https://docs.google.com/spreadsheets/d/11923uPwbBZFjjGgGUA6NLw09EwE0CqkOc4q9oUmW1yo/edit?usp=sharing"",""กำแพงเพชร!I456"")"),0)</f>
        <v>0</v>
      </c>
      <c r="J561" s="213">
        <f ca="1">IFERROR(__xludf.DUMMYFUNCTION("IMPORTRANGE(""https://docs.google.com/spreadsheets/d/11923uPwbBZFjjGgGUA6NLw09EwE0CqkOc4q9oUmW1yo/edit?usp=sharing"",""กำแพงเพชร!J456"")"),0)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IFERROR(__xludf.DUMMYFUNCTION("IMPORTRANGE(""https://docs.google.com/spreadsheets/d/11923uPwbBZFjjGgGUA6NLw09EwE0CqkOc4q9oUmW1yo/edit?usp=sharing"",""กำแพงเพชร!J457"")"),"")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IFERROR(__xludf.DUMMYFUNCTION("IMPORTRANGE(""https://docs.google.com/spreadsheets/d/11923uPwbBZFjjGgGUA6NLw09EwE0CqkOc4q9oUmW1yo/edit?usp=sharing"",""กำแพงเพชร!J458"")"),"")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IFERROR(__xludf.DUMMYFUNCTION("IMPORTRANGE(""https://docs.google.com/spreadsheets/d/11923uPwbBZFjjGgGUA6NLw09EwE0CqkOc4q9oUmW1yo/edit?usp=sharing"",""กำแพงเพชร!I459"")"),4900)</f>
        <v>4900</v>
      </c>
      <c r="J564" s="379">
        <f ca="1">IFERROR(__xludf.DUMMYFUNCTION("IMPORTRANGE(""https://docs.google.com/spreadsheets/d/11923uPwbBZFjjGgGUA6NLw09EwE0CqkOc4q9oUmW1yo/edit?usp=sharing"",""กำแพงเพชร!J459"")"),2270)</f>
        <v>2270</v>
      </c>
      <c r="K564" s="380">
        <f t="shared" ca="1" si="121"/>
        <v>46.326530612244895</v>
      </c>
      <c r="L564" s="381">
        <f ca="1">IFERROR(__xludf.DUMMYFUNCTION("IMPORTRANGE(""https://docs.google.com/spreadsheets/d/11923uPwbBZFjjGgGUA6NLw09EwE0CqkOc4q9oUmW1yo/edit?usp=sharing"",""กำแพงเพชร!L459"")"),168000)</f>
        <v>168000</v>
      </c>
      <c r="M564" s="381"/>
      <c r="N564" s="381">
        <f ca="1">IFERROR(__xludf.DUMMYFUNCTION("IMPORTRANGE(""https://docs.google.com/spreadsheets/d/11923uPwbBZFjjGgGUA6NLw09EwE0CqkOc4q9oUmW1yo/edit?usp=sharing"",""กำแพงเพชร!M459"")"),0)</f>
        <v>0</v>
      </c>
      <c r="O564" s="381">
        <f t="shared" ref="O564:O568" ca="1" si="122">+IF(L564&gt;0,N564*100/L564,0)</f>
        <v>0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IFERROR(__xludf.DUMMYFUNCTION("IMPORTRANGE(""https://docs.google.com/spreadsheets/d/11923uPwbBZFjjGgGUA6NLw09EwE0CqkOc4q9oUmW1yo/edit?usp=sharing"",""กำแพงเพชร!L460"")"),0)</f>
        <v>0</v>
      </c>
      <c r="M565" s="172"/>
      <c r="N565" s="178">
        <f ca="1">IFERROR(__xludf.DUMMYFUNCTION("IMPORTRANGE(""https://docs.google.com/spreadsheets/d/11923uPwbBZFjjGgGUA6NLw09EwE0CqkOc4q9oUmW1yo/edit?usp=sharing"",""กำแพงเพชร!M460"")"),0)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IFERROR(__xludf.DUMMYFUNCTION("IMPORTRANGE(""https://docs.google.com/spreadsheets/d/11923uPwbBZFjjGgGUA6NLw09EwE0CqkOc4q9oUmW1yo/edit?usp=sharing"",""กำแพงเพชร!L461"")"),168000)</f>
        <v>168000</v>
      </c>
      <c r="M566" s="173"/>
      <c r="N566" s="178">
        <f ca="1">IFERROR(__xludf.DUMMYFUNCTION("IMPORTRANGE(""https://docs.google.com/spreadsheets/d/11923uPwbBZFjjGgGUA6NLw09EwE0CqkOc4q9oUmW1yo/edit?usp=sharing"",""กำแพงเพชร!M461"")"),0)</f>
        <v>0</v>
      </c>
      <c r="O566" s="178">
        <f t="shared" ca="1" si="122"/>
        <v>0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IFERROR(__xludf.DUMMYFUNCTION("IMPORTRANGE(""https://docs.google.com/spreadsheets/d/11923uPwbBZFjjGgGUA6NLw09EwE0CqkOc4q9oUmW1yo/edit?usp=sharing"",""กำแพงเพชร!L462"")"),0)</f>
        <v>0</v>
      </c>
      <c r="M567" s="178"/>
      <c r="N567" s="178">
        <f ca="1">IFERROR(__xludf.DUMMYFUNCTION("IMPORTRANGE(""https://docs.google.com/spreadsheets/d/11923uPwbBZFjjGgGUA6NLw09EwE0CqkOc4q9oUmW1yo/edit?usp=sharing"",""กำแพงเพชร!M462"")"),0)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IFERROR(__xludf.DUMMYFUNCTION("IMPORTRANGE(""https://docs.google.com/spreadsheets/d/11923uPwbBZFjjGgGUA6NLw09EwE0CqkOc4q9oUmW1yo/edit?usp=sharing"",""กำแพงเพชร!L463"")"),168000)</f>
        <v>168000</v>
      </c>
      <c r="M568" s="178"/>
      <c r="N568" s="178">
        <f ca="1">IFERROR(__xludf.DUMMYFUNCTION("IMPORTRANGE(""https://docs.google.com/spreadsheets/d/11923uPwbBZFjjGgGUA6NLw09EwE0CqkOc4q9oUmW1yo/edit?usp=sharing"",""กำแพงเพชร!M463"")"),0)</f>
        <v>0</v>
      </c>
      <c r="O568" s="178">
        <f t="shared" ca="1" si="122"/>
        <v>0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IFERROR(__xludf.DUMMYFUNCTION("IMPORTRANGE(""https://docs.google.com/spreadsheets/d/11923uPwbBZFjjGgGUA6NLw09EwE0CqkOc4q9oUmW1yo/edit?usp=sharing"",""กำแพงเพชร!M464"")"),0)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IFERROR(__xludf.DUMMYFUNCTION("IMPORTRANGE(""https://docs.google.com/spreadsheets/d/11923uPwbBZFjjGgGUA6NLw09EwE0CqkOc4q9oUmW1yo/edit?usp=sharing"",""กำแพงเพชร!M465"")"),0)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IFERROR(__xludf.DUMMYFUNCTION("IMPORTRANGE(""https://docs.google.com/spreadsheets/d/11923uPwbBZFjjGgGUA6NLw09EwE0CqkOc4q9oUmW1yo/edit?usp=sharing"",""กำแพงเพชร!M466"")"),0)</f>
        <v>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IFERROR(__xludf.DUMMYFUNCTION("IMPORTRANGE(""https://docs.google.com/spreadsheets/d/11923uPwbBZFjjGgGUA6NLw09EwE0CqkOc4q9oUmW1yo/edit?usp=sharing"",""กำแพงเพชร!M467"")"),0)</f>
        <v>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IFERROR(__xludf.DUMMYFUNCTION("IMPORTRANGE(""https://docs.google.com/spreadsheets/d/11923uPwbBZFjjGgGUA6NLw09EwE0CqkOc4q9oUmW1yo/edit?usp=sharing"",""กำแพงเพชร!I468"")"),4900)</f>
        <v>4900</v>
      </c>
      <c r="J573" s="428">
        <f ca="1">IFERROR(__xludf.DUMMYFUNCTION("IMPORTRANGE(""https://docs.google.com/spreadsheets/d/11923uPwbBZFjjGgGUA6NLw09EwE0CqkOc4q9oUmW1yo/edit?usp=sharing"",""กำแพงเพชร!J468"")"),2270)</f>
        <v>2270</v>
      </c>
      <c r="K573" s="211">
        <f ca="1">IF(I573&gt;0,J573*100/I573,0)</f>
        <v>46.326530612244895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IFERROR(__xludf.DUMMYFUNCTION("IMPORTRANGE(""https://docs.google.com/spreadsheets/d/11923uPwbBZFjjGgGUA6NLw09EwE0CqkOc4q9oUmW1yo/edit?usp=sharing"",""กำแพงเพชร!I470"")"),0)</f>
        <v>0</v>
      </c>
      <c r="J575" s="207">
        <f ca="1">IFERROR(__xludf.DUMMYFUNCTION("IMPORTRANGE(""https://docs.google.com/spreadsheets/d/11923uPwbBZFjjGgGUA6NLw09EwE0CqkOc4q9oUmW1yo/edit?usp=sharing"",""กำแพงเพชร!J470"")"),0)</f>
        <v>0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IFERROR(__xludf.DUMMYFUNCTION("IMPORTRANGE(""https://docs.google.com/spreadsheets/d/11923uPwbBZFjjGgGUA6NLw09EwE0CqkOc4q9oUmW1yo/edit?usp=sharing"",""กำแพงเพชร!I471"")"),0)</f>
        <v>0</v>
      </c>
      <c r="J576" s="207">
        <f ca="1">IFERROR(__xludf.DUMMYFUNCTION("IMPORTRANGE(""https://docs.google.com/spreadsheets/d/11923uPwbBZFjjGgGUA6NLw09EwE0CqkOc4q9oUmW1yo/edit?usp=sharing"",""กำแพงเพชร!J471"")"),0)</f>
        <v>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IFERROR(__xludf.DUMMYFUNCTION("IMPORTRANGE(""https://docs.google.com/spreadsheets/d/11923uPwbBZFjjGgGUA6NLw09EwE0CqkOc4q9oUmW1yo/edit?usp=sharing"",""กำแพงเพชร!I472"")"),0)</f>
        <v>0</v>
      </c>
      <c r="J577" s="198">
        <f ca="1">IFERROR(__xludf.DUMMYFUNCTION("IMPORTRANGE(""https://docs.google.com/spreadsheets/d/11923uPwbBZFjjGgGUA6NLw09EwE0CqkOc4q9oUmW1yo/edit?usp=sharing"",""กำแพงเพชร!J472"")"),2270)</f>
        <v>2270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IFERROR(__xludf.DUMMYFUNCTION("IMPORTRANGE(""https://docs.google.com/spreadsheets/d/11923uPwbBZFjjGgGUA6NLw09EwE0CqkOc4q9oUmW1yo/edit?usp=sharing"",""กำแพงเพชร!I473"")"),0)</f>
        <v>0</v>
      </c>
      <c r="J578" s="207">
        <f ca="1">IFERROR(__xludf.DUMMYFUNCTION("IMPORTRANGE(""https://docs.google.com/spreadsheets/d/11923uPwbBZFjjGgGUA6NLw09EwE0CqkOc4q9oUmW1yo/edit?usp=sharing"",""กำแพงเพชร!J473"")"),0)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IFERROR(__xludf.DUMMYFUNCTION("IMPORTRANGE(""https://docs.google.com/spreadsheets/d/11923uPwbBZFjjGgGUA6NLw09EwE0CqkOc4q9oUmW1yo/edit?usp=sharing"",""กำแพงเพชร!I474"")"),0)</f>
        <v>0</v>
      </c>
      <c r="J579" s="207">
        <f ca="1">IFERROR(__xludf.DUMMYFUNCTION("IMPORTRANGE(""https://docs.google.com/spreadsheets/d/11923uPwbBZFjjGgGUA6NLw09EwE0CqkOc4q9oUmW1yo/edit?usp=sharing"",""กำแพงเพชร!J474"")"),0)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IFERROR(__xludf.DUMMYFUNCTION("IMPORTRANGE(""https://docs.google.com/spreadsheets/d/11923uPwbBZFjjGgGUA6NLw09EwE0CqkOc4q9oUmW1yo/edit?usp=sharing"",""กำแพงเพชร!I475"")"),500)</f>
        <v>500</v>
      </c>
      <c r="J580" s="379">
        <f ca="1">IFERROR(__xludf.DUMMYFUNCTION("IMPORTRANGE(""https://docs.google.com/spreadsheets/d/11923uPwbBZFjjGgGUA6NLw09EwE0CqkOc4q9oUmW1yo/edit?usp=sharing"",""กำแพงเพชร!J475"")"),0)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IFERROR(__xludf.DUMMYFUNCTION("IMPORTRANGE(""https://docs.google.com/spreadsheets/d/11923uPwbBZFjjGgGUA6NLw09EwE0CqkOc4q9oUmW1yo/edit?usp=sharing"",""กำแพงเพชร!L475"")"),395350)</f>
        <v>395350</v>
      </c>
      <c r="M580" s="381"/>
      <c r="N580" s="381">
        <f ca="1">IFERROR(__xludf.DUMMYFUNCTION("IMPORTRANGE(""https://docs.google.com/spreadsheets/d/11923uPwbBZFjjGgGUA6NLw09EwE0CqkOc4q9oUmW1yo/edit?usp=sharing"",""กำแพงเพชร!M475"")"),0)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IFERROR(__xludf.DUMMYFUNCTION("IMPORTRANGE(""https://docs.google.com/spreadsheets/d/11923uPwbBZFjjGgGUA6NLw09EwE0CqkOc4q9oUmW1yo/edit?usp=sharing"",""กำแพงเพชร!L476"")"),0)</f>
        <v>0</v>
      </c>
      <c r="M581" s="172"/>
      <c r="N581" s="178">
        <f ca="1">IFERROR(__xludf.DUMMYFUNCTION("IMPORTRANGE(""https://docs.google.com/spreadsheets/d/11923uPwbBZFjjGgGUA6NLw09EwE0CqkOc4q9oUmW1yo/edit?usp=sharing"",""กำแพงเพชร!M476"")"),0)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IFERROR(__xludf.DUMMYFUNCTION("IMPORTRANGE(""https://docs.google.com/spreadsheets/d/11923uPwbBZFjjGgGUA6NLw09EwE0CqkOc4q9oUmW1yo/edit?usp=sharing"",""กำแพงเพชร!L477"")"),395350)</f>
        <v>395350</v>
      </c>
      <c r="M582" s="173"/>
      <c r="N582" s="178">
        <f ca="1">IFERROR(__xludf.DUMMYFUNCTION("IMPORTRANGE(""https://docs.google.com/spreadsheets/d/11923uPwbBZFjjGgGUA6NLw09EwE0CqkOc4q9oUmW1yo/edit?usp=sharing"",""กำแพงเพชร!M477"")"),0)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IFERROR(__xludf.DUMMYFUNCTION("IMPORTRANGE(""https://docs.google.com/spreadsheets/d/11923uPwbBZFjjGgGUA6NLw09EwE0CqkOc4q9oUmW1yo/edit?usp=sharing"",""กำแพงเพชร!L478"")"),0)</f>
        <v>0</v>
      </c>
      <c r="M583" s="178"/>
      <c r="N583" s="178">
        <f ca="1">IFERROR(__xludf.DUMMYFUNCTION("IMPORTRANGE(""https://docs.google.com/spreadsheets/d/11923uPwbBZFjjGgGUA6NLw09EwE0CqkOc4q9oUmW1yo/edit?usp=sharing"",""กำแพงเพชร!M478"")"),0)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IFERROR(__xludf.DUMMYFUNCTION("IMPORTRANGE(""https://docs.google.com/spreadsheets/d/11923uPwbBZFjjGgGUA6NLw09EwE0CqkOc4q9oUmW1yo/edit?usp=sharing"",""กำแพงเพชร!L479"")"),395350)</f>
        <v>395350</v>
      </c>
      <c r="M584" s="178"/>
      <c r="N584" s="178">
        <f ca="1">IFERROR(__xludf.DUMMYFUNCTION("IMPORTRANGE(""https://docs.google.com/spreadsheets/d/11923uPwbBZFjjGgGUA6NLw09EwE0CqkOc4q9oUmW1yo/edit?usp=sharing"",""กำแพงเพชร!M479"")"),0)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IFERROR(__xludf.DUMMYFUNCTION("IMPORTRANGE(""https://docs.google.com/spreadsheets/d/11923uPwbBZFjjGgGUA6NLw09EwE0CqkOc4q9oUmW1yo/edit?usp=sharing"",""กำแพงเพชร!M480"")"),0)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IFERROR(__xludf.DUMMYFUNCTION("IMPORTRANGE(""https://docs.google.com/spreadsheets/d/11923uPwbBZFjjGgGUA6NLw09EwE0CqkOc4q9oUmW1yo/edit?usp=sharing"",""กำแพงเพชร!M481"")"),0)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IFERROR(__xludf.DUMMYFUNCTION("IMPORTRANGE(""https://docs.google.com/spreadsheets/d/11923uPwbBZFjjGgGUA6NLw09EwE0CqkOc4q9oUmW1yo/edit?usp=sharing"",""กำแพงเพชร!M482"")"),0)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IFERROR(__xludf.DUMMYFUNCTION("IMPORTRANGE(""https://docs.google.com/spreadsheets/d/11923uPwbBZFjjGgGUA6NLw09EwE0CqkOc4q9oUmW1yo/edit?usp=sharing"",""กำแพงเพชร!M483"")"),0)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IFERROR(__xludf.DUMMYFUNCTION("IMPORTRANGE(""https://docs.google.com/spreadsheets/d/11923uPwbBZFjjGgGUA6NLw09EwE0CqkOc4q9oUmW1yo/edit?usp=sharing"",""กำแพงเพชร!I484"")"),500)</f>
        <v>500</v>
      </c>
      <c r="J589" s="197">
        <f ca="1">IFERROR(__xludf.DUMMYFUNCTION("IMPORTRANGE(""https://docs.google.com/spreadsheets/d/11923uPwbBZFjjGgGUA6NLw09EwE0CqkOc4q9oUmW1yo/edit?usp=sharing"",""กำแพงเพชร!J484"")"),26)</f>
        <v>26</v>
      </c>
      <c r="K589" s="171">
        <f t="shared" ref="K589:K596" ca="1" si="125">IF(I589&gt;0,J589*100/I589,0)</f>
        <v>5.2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IFERROR(__xludf.DUMMYFUNCTION("IMPORTRANGE(""https://docs.google.com/spreadsheets/d/11923uPwbBZFjjGgGUA6NLw09EwE0CqkOc4q9oUmW1yo/edit?usp=sharing"",""กำแพงเพชร!I485"")"),0)</f>
        <v>0</v>
      </c>
      <c r="J590" s="197">
        <f ca="1">IFERROR(__xludf.DUMMYFUNCTION("IMPORTRANGE(""https://docs.google.com/spreadsheets/d/11923uPwbBZFjjGgGUA6NLw09EwE0CqkOc4q9oUmW1yo/edit?usp=sharing"",""กำแพงเพชร!J485"")"),34.53)</f>
        <v>34.53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IFERROR(__xludf.DUMMYFUNCTION("IMPORTRANGE(""https://docs.google.com/spreadsheets/d/11923uPwbBZFjjGgGUA6NLw09EwE0CqkOc4q9oUmW1yo/edit?usp=sharing"",""กำแพงเพชร!I486"")"),500)</f>
        <v>500</v>
      </c>
      <c r="J591" s="197">
        <f ca="1">IFERROR(__xludf.DUMMYFUNCTION("IMPORTRANGE(""https://docs.google.com/spreadsheets/d/11923uPwbBZFjjGgGUA6NLw09EwE0CqkOc4q9oUmW1yo/edit?usp=sharing"",""กำแพงเพชร!J486"")"),0)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IFERROR(__xludf.DUMMYFUNCTION("IMPORTRANGE(""https://docs.google.com/spreadsheets/d/11923uPwbBZFjjGgGUA6NLw09EwE0CqkOc4q9oUmW1yo/edit?usp=sharing"",""กำแพงเพชร!I487"")"),0)</f>
        <v>0</v>
      </c>
      <c r="J592" s="197">
        <f ca="1">IFERROR(__xludf.DUMMYFUNCTION("IMPORTRANGE(""https://docs.google.com/spreadsheets/d/11923uPwbBZFjjGgGUA6NLw09EwE0CqkOc4q9oUmW1yo/edit?usp=sharing"",""กำแพงเพชร!J487"")"),0)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IFERROR(__xludf.DUMMYFUNCTION("IMPORTRANGE(""https://docs.google.com/spreadsheets/d/11923uPwbBZFjjGgGUA6NLw09EwE0CqkOc4q9oUmW1yo/edit?usp=sharing"",""กำแพงเพชร!I488"")"),500)</f>
        <v>500</v>
      </c>
      <c r="J593" s="197">
        <f ca="1">IFERROR(__xludf.DUMMYFUNCTION("IMPORTRANGE(""https://docs.google.com/spreadsheets/d/11923uPwbBZFjjGgGUA6NLw09EwE0CqkOc4q9oUmW1yo/edit?usp=sharing"",""กำแพงเพชร!J488"")"),0)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IFERROR(__xludf.DUMMYFUNCTION("IMPORTRANGE(""https://docs.google.com/spreadsheets/d/11923uPwbBZFjjGgGUA6NLw09EwE0CqkOc4q9oUmW1yo/edit?usp=sharing"",""กำแพงเพชร!I489"")"),0)</f>
        <v>0</v>
      </c>
      <c r="J594" s="197">
        <f ca="1">IFERROR(__xludf.DUMMYFUNCTION("IMPORTRANGE(""https://docs.google.com/spreadsheets/d/11923uPwbBZFjjGgGUA6NLw09EwE0CqkOc4q9oUmW1yo/edit?usp=sharing"",""กำแพงเพชร!J489"")"),0)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IFERROR(__xludf.DUMMYFUNCTION("IMPORTRANGE(""https://docs.google.com/spreadsheets/d/11923uPwbBZFjjGgGUA6NLw09EwE0CqkOc4q9oUmW1yo/edit?usp=sharing"",""กำแพงเพชร!I490"")"),500)</f>
        <v>500</v>
      </c>
      <c r="J595" s="197">
        <f ca="1">IFERROR(__xludf.DUMMYFUNCTION("IMPORTRANGE(""https://docs.google.com/spreadsheets/d/11923uPwbBZFjjGgGUA6NLw09EwE0CqkOc4q9oUmW1yo/edit?usp=sharing"",""กำแพงเพชร!J490"")"),0)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IFERROR(__xludf.DUMMYFUNCTION("IMPORTRANGE(""https://docs.google.com/spreadsheets/d/11923uPwbBZFjjGgGUA6NLw09EwE0CqkOc4q9oUmW1yo/edit?usp=sharing"",""กำแพงเพชร!I491"")"),0)</f>
        <v>0</v>
      </c>
      <c r="J596" s="250">
        <f ca="1">IFERROR(__xludf.DUMMYFUNCTION("IMPORTRANGE(""https://docs.google.com/spreadsheets/d/11923uPwbBZFjjGgGUA6NLw09EwE0CqkOc4q9oUmW1yo/edit?usp=sharing"",""กำแพงเพชร!J491"")"),0)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IFERROR(__xludf.DUMMYFUNCTION("IMPORTRANGE(""https://docs.google.com/spreadsheets/d/11923uPwbBZFjjGgGUA6NLw09EwE0CqkOc4q9oUmW1yo/edit?usp=sharing"",""กำแพงเพชร!I492"")"),100)</f>
        <v>100</v>
      </c>
      <c r="J597" s="495">
        <f ca="1">IFERROR(__xludf.DUMMYFUNCTION("IMPORTRANGE(""https://docs.google.com/spreadsheets/d/11923uPwbBZFjjGgGUA6NLw09EwE0CqkOc4q9oUmW1yo/edit?usp=sharing"",""กำแพงเพชร!J492"")"),0)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IFERROR(__xludf.DUMMYFUNCTION("IMPORTRANGE(""https://docs.google.com/spreadsheets/d/11923uPwbBZFjjGgGUA6NLw09EwE0CqkOc4q9oUmW1yo/edit?usp=sharing"",""กำแพงเพชร!L492"")"),8900)</f>
        <v>8900</v>
      </c>
      <c r="M597" s="420"/>
      <c r="N597" s="420">
        <f ca="1">IFERROR(__xludf.DUMMYFUNCTION("IMPORTRANGE(""https://docs.google.com/spreadsheets/d/11923uPwbBZFjjGgGUA6NLw09EwE0CqkOc4q9oUmW1yo/edit?usp=sharing"",""กำแพงเพชร!M492"")"),1200)</f>
        <v>1200</v>
      </c>
      <c r="O597" s="420">
        <f t="shared" ref="O597:O601" ca="1" si="126">+IF(L597&gt;0,N597*100/L597,0)</f>
        <v>13.48314606741573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IFERROR(__xludf.DUMMYFUNCTION("IMPORTRANGE(""https://docs.google.com/spreadsheets/d/11923uPwbBZFjjGgGUA6NLw09EwE0CqkOc4q9oUmW1yo/edit?usp=sharing"",""กำแพงเพชร!L493"")"),0)</f>
        <v>0</v>
      </c>
      <c r="M598" s="172"/>
      <c r="N598" s="178">
        <f ca="1">IFERROR(__xludf.DUMMYFUNCTION("IMPORTRANGE(""https://docs.google.com/spreadsheets/d/11923uPwbBZFjjGgGUA6NLw09EwE0CqkOc4q9oUmW1yo/edit?usp=sharing"",""กำแพงเพชร!M493"")"),0)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IFERROR(__xludf.DUMMYFUNCTION("IMPORTRANGE(""https://docs.google.com/spreadsheets/d/11923uPwbBZFjjGgGUA6NLw09EwE0CqkOc4q9oUmW1yo/edit?usp=sharing"",""กำแพงเพชร!L494"")"),8900)</f>
        <v>8900</v>
      </c>
      <c r="M599" s="173"/>
      <c r="N599" s="178">
        <f ca="1">IFERROR(__xludf.DUMMYFUNCTION("IMPORTRANGE(""https://docs.google.com/spreadsheets/d/11923uPwbBZFjjGgGUA6NLw09EwE0CqkOc4q9oUmW1yo/edit?usp=sharing"",""กำแพงเพชร!M494"")"),1200)</f>
        <v>1200</v>
      </c>
      <c r="O599" s="178">
        <f t="shared" ca="1" si="126"/>
        <v>13.48314606741573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IFERROR(__xludf.DUMMYFUNCTION("IMPORTRANGE(""https://docs.google.com/spreadsheets/d/11923uPwbBZFjjGgGUA6NLw09EwE0CqkOc4q9oUmW1yo/edit?usp=sharing"",""กำแพงเพชร!L495"")"),0)</f>
        <v>0</v>
      </c>
      <c r="M600" s="178"/>
      <c r="N600" s="178">
        <f ca="1">IFERROR(__xludf.DUMMYFUNCTION("IMPORTRANGE(""https://docs.google.com/spreadsheets/d/11923uPwbBZFjjGgGUA6NLw09EwE0CqkOc4q9oUmW1yo/edit?usp=sharing"",""กำแพงเพชร!M495"")"),0)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IFERROR(__xludf.DUMMYFUNCTION("IMPORTRANGE(""https://docs.google.com/spreadsheets/d/11923uPwbBZFjjGgGUA6NLw09EwE0CqkOc4q9oUmW1yo/edit?usp=sharing"",""กำแพงเพชร!L496"")"),8900)</f>
        <v>8900</v>
      </c>
      <c r="M601" s="178"/>
      <c r="N601" s="178">
        <f ca="1">IFERROR(__xludf.DUMMYFUNCTION("IMPORTRANGE(""https://docs.google.com/spreadsheets/d/11923uPwbBZFjjGgGUA6NLw09EwE0CqkOc4q9oUmW1yo/edit?usp=sharing"",""กำแพงเพชร!M496"")"),1200)</f>
        <v>1200</v>
      </c>
      <c r="O601" s="178">
        <f t="shared" ca="1" si="126"/>
        <v>13.48314606741573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IFERROR(__xludf.DUMMYFUNCTION("IMPORTRANGE(""https://docs.google.com/spreadsheets/d/11923uPwbBZFjjGgGUA6NLw09EwE0CqkOc4q9oUmW1yo/edit?usp=sharing"",""กำแพงเพชร!M497"")"),0)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IFERROR(__xludf.DUMMYFUNCTION("IMPORTRANGE(""https://docs.google.com/spreadsheets/d/11923uPwbBZFjjGgGUA6NLw09EwE0CqkOc4q9oUmW1yo/edit?usp=sharing"",""กำแพงเพชร!M498"")"),0)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IFERROR(__xludf.DUMMYFUNCTION("IMPORTRANGE(""https://docs.google.com/spreadsheets/d/11923uPwbBZFjjGgGUA6NLw09EwE0CqkOc4q9oUmW1yo/edit?usp=sharing"",""กำแพงเพชร!M499"")"),1200)</f>
        <v>1200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IFERROR(__xludf.DUMMYFUNCTION("IMPORTRANGE(""https://docs.google.com/spreadsheets/d/11923uPwbBZFjjGgGUA6NLw09EwE0CqkOc4q9oUmW1yo/edit?usp=sharing"",""กำแพงเพชร!M500"")"),0)</f>
        <v>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IFERROR(__xludf.DUMMYFUNCTION("IMPORTRANGE(""https://docs.google.com/spreadsheets/d/11923uPwbBZFjjGgGUA6NLw09EwE0CqkOc4q9oUmW1yo/edit?usp=sharing"",""กำแพงเพชร!J502"")"),0)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IFERROR(__xludf.DUMMYFUNCTION("IMPORTRANGE(""https://docs.google.com/spreadsheets/d/11923uPwbBZFjjGgGUA6NLw09EwE0CqkOc4q9oUmW1yo/edit?usp=sharing"",""กำแพงเพชร!J503"")"),0)</f>
        <v>0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IFERROR(__xludf.DUMMYFUNCTION("IMPORTRANGE(""https://docs.google.com/spreadsheets/d/11923uPwbBZFjjGgGUA6NLw09EwE0CqkOc4q9oUmW1yo/edit?usp=sharing"",""กำแพงเพชร!J166"")"),0)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IFERROR(__xludf.DUMMYFUNCTION("IMPORTRANGE(""https://docs.google.com/spreadsheets/d/11923uPwbBZFjjGgGUA6NLw09EwE0CqkOc4q9oUmW1yo/edit?usp=sharing"",""กำแพงเพชร!J166"")"),0)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IFERROR(__xludf.DUMMYFUNCTION("IMPORTRANGE(""https://docs.google.com/spreadsheets/d/11923uPwbBZFjjGgGUA6NLw09EwE0CqkOc4q9oUmW1yo/edit?usp=sharing"",""กำแพงเพชร!I506"")"),100)</f>
        <v>100</v>
      </c>
      <c r="J611" s="170">
        <f ca="1">IFERROR(__xludf.DUMMYFUNCTION("IMPORTRANGE(""https://docs.google.com/spreadsheets/d/11923uPwbBZFjjGgGUA6NLw09EwE0CqkOc4q9oUmW1yo/edit?usp=sharing"",""กำแพงเพชร!J506"")"),0)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IFERROR(__xludf.DUMMYFUNCTION("IMPORTRANGE(""https://docs.google.com/spreadsheets/d/11923uPwbBZFjjGgGUA6NLw09EwE0CqkOc4q9oUmW1yo/edit?usp=sharing"",""กำแพงเพชร!I507"")"),0)</f>
        <v>0</v>
      </c>
      <c r="J612" s="207">
        <f ca="1">IFERROR(__xludf.DUMMYFUNCTION("IMPORTRANGE(""https://docs.google.com/spreadsheets/d/11923uPwbBZFjjGgGUA6NLw09EwE0CqkOc4q9oUmW1yo/edit?usp=sharing"",""กำแพงเพชร!J507"")"),0)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IFERROR(__xludf.DUMMYFUNCTION("IMPORTRANGE(""https://docs.google.com/spreadsheets/d/11923uPwbBZFjjGgGUA6NLw09EwE0CqkOc4q9oUmW1yo/edit?usp=sharing"",""กำแพงเพชร!I508"")"),0)</f>
        <v>0</v>
      </c>
      <c r="J613" s="207">
        <f ca="1">IFERROR(__xludf.DUMMYFUNCTION("IMPORTRANGE(""https://docs.google.com/spreadsheets/d/11923uPwbBZFjjGgGUA6NLw09EwE0CqkOc4q9oUmW1yo/edit?usp=sharing"",""กำแพงเพชร!J508"")"),0)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IFERROR(__xludf.DUMMYFUNCTION("IMPORTRANGE(""https://docs.google.com/spreadsheets/d/11923uPwbBZFjjGgGUA6NLw09EwE0CqkOc4q9oUmW1yo/edit?usp=sharing"",""กำแพงเพชร!I509"")"),0)</f>
        <v>0</v>
      </c>
      <c r="J614" s="207">
        <f ca="1">IFERROR(__xludf.DUMMYFUNCTION("IMPORTRANGE(""https://docs.google.com/spreadsheets/d/11923uPwbBZFjjGgGUA6NLw09EwE0CqkOc4q9oUmW1yo/edit?usp=sharing"",""กำแพงเพชร!J509"")"),0)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IFERROR(__xludf.DUMMYFUNCTION("IMPORTRANGE(""https://docs.google.com/spreadsheets/d/11923uPwbBZFjjGgGUA6NLw09EwE0CqkOc4q9oUmW1yo/edit?usp=sharing"",""กำแพงเพชร!I510"")"),0)</f>
        <v>0</v>
      </c>
      <c r="J615" s="207">
        <f ca="1">IFERROR(__xludf.DUMMYFUNCTION("IMPORTRANGE(""https://docs.google.com/spreadsheets/d/11923uPwbBZFjjGgGUA6NLw09EwE0CqkOc4q9oUmW1yo/edit?usp=sharing"",""กำแพงเพชร!J510"")"),0)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IFERROR(__xludf.DUMMYFUNCTION("IMPORTRANGE(""https://docs.google.com/spreadsheets/d/11923uPwbBZFjjGgGUA6NLw09EwE0CqkOc4q9oUmW1yo/edit?usp=sharing"",""กำแพงเพชร!I511"")"),0)</f>
        <v>0</v>
      </c>
      <c r="J616" s="207">
        <f ca="1">IFERROR(__xludf.DUMMYFUNCTION("IMPORTRANGE(""https://docs.google.com/spreadsheets/d/11923uPwbBZFjjGgGUA6NLw09EwE0CqkOc4q9oUmW1yo/edit?usp=sharing"",""กำแพงเพชร!J511"")"),0)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IFERROR(__xludf.DUMMYFUNCTION("IMPORTRANGE(""https://docs.google.com/spreadsheets/d/11923uPwbBZFjjGgGUA6NLw09EwE0CqkOc4q9oUmW1yo/edit?usp=sharing"",""กำแพงเพชร!I512"")"),0)</f>
        <v>0</v>
      </c>
      <c r="J617" s="197">
        <f ca="1">IFERROR(__xludf.DUMMYFUNCTION("IMPORTRANGE(""https://docs.google.com/spreadsheets/d/11923uPwbBZFjjGgGUA6NLw09EwE0CqkOc4q9oUmW1yo/edit?usp=sharing"",""กำแพงเพชร!J512"")"),0)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IFERROR(__xludf.DUMMYFUNCTION("IMPORTRANGE(""https://docs.google.com/spreadsheets/d/11923uPwbBZFjjGgGUA6NLw09EwE0CqkOc4q9oUmW1yo/edit?usp=sharing"",""กำแพงเพชร!I513"")"),0)</f>
        <v>0</v>
      </c>
      <c r="J618" s="198">
        <f ca="1">IFERROR(__xludf.DUMMYFUNCTION("IMPORTRANGE(""https://docs.google.com/spreadsheets/d/11923uPwbBZFjjGgGUA6NLw09EwE0CqkOc4q9oUmW1yo/edit?usp=sharing"",""กำแพงเพชร!J513"")"),0)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IFERROR(__xludf.DUMMYFUNCTION("IMPORTRANGE(""https://docs.google.com/spreadsheets/d/11923uPwbBZFjjGgGUA6NLw09EwE0CqkOc4q9oUmW1yo/edit?usp=sharing"",""กำแพงเพชร!I514"")"),0)</f>
        <v>0</v>
      </c>
      <c r="J619" s="198">
        <f ca="1">IFERROR(__xludf.DUMMYFUNCTION("IMPORTRANGE(""https://docs.google.com/spreadsheets/d/11923uPwbBZFjjGgGUA6NLw09EwE0CqkOc4q9oUmW1yo/edit?usp=sharing"",""กำแพงเพชร!J514"")"),0)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IFERROR(__xludf.DUMMYFUNCTION("IMPORTRANGE(""https://docs.google.com/spreadsheets/d/11923uPwbBZFjjGgGUA6NLw09EwE0CqkOc4q9oUmW1yo/edit?usp=sharing"",""กำแพงเพชร!I515"")"),0)</f>
        <v>0</v>
      </c>
      <c r="J620" s="212">
        <f ca="1">IFERROR(__xludf.DUMMYFUNCTION("IMPORTRANGE(""https://docs.google.com/spreadsheets/d/11923uPwbBZFjjGgGUA6NLw09EwE0CqkOc4q9oUmW1yo/edit?usp=sharing"",""กำแพงเพชร!J515"")"),0)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IFERROR(__xludf.DUMMYFUNCTION("IMPORTRANGE(""https://docs.google.com/spreadsheets/d/11923uPwbBZFjjGgGUA6NLw09EwE0CqkOc4q9oUmW1yo/edit?usp=sharing"",""กำแพงเพชร!I516"")"),0)</f>
        <v>0</v>
      </c>
      <c r="J621" s="212">
        <f ca="1">IFERROR(__xludf.DUMMYFUNCTION("IMPORTRANGE(""https://docs.google.com/spreadsheets/d/11923uPwbBZFjjGgGUA6NLw09EwE0CqkOc4q9oUmW1yo/edit?usp=sharing"",""กำแพงเพชร!J516"")"),0)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IFERROR(__xludf.DUMMYFUNCTION("IMPORTRANGE(""https://docs.google.com/spreadsheets/d/11923uPwbBZFjjGgGUA6NLw09EwE0CqkOc4q9oUmW1yo/edit?usp=sharing"",""กำแพงเพชร!I517"")"),0)</f>
        <v>0</v>
      </c>
      <c r="J622" s="198">
        <f ca="1">IFERROR(__xludf.DUMMYFUNCTION("IMPORTRANGE(""https://docs.google.com/spreadsheets/d/11923uPwbBZFjjGgGUA6NLw09EwE0CqkOc4q9oUmW1yo/edit?usp=sharing"",""กำแพงเพชร!J517"")"),0)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IFERROR(__xludf.DUMMYFUNCTION("IMPORTRANGE(""https://docs.google.com/spreadsheets/d/11923uPwbBZFjjGgGUA6NLw09EwE0CqkOc4q9oUmW1yo/edit?usp=sharing"",""กำแพงเพชร!I518"")"),0)</f>
        <v>0</v>
      </c>
      <c r="J623" s="198">
        <f ca="1">IFERROR(__xludf.DUMMYFUNCTION("IMPORTRANGE(""https://docs.google.com/spreadsheets/d/11923uPwbBZFjjGgGUA6NLw09EwE0CqkOc4q9oUmW1yo/edit?usp=sharing"",""กำแพงเพชร!J518"")"),0)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IFERROR(__xludf.DUMMYFUNCTION("IMPORTRANGE(""https://docs.google.com/spreadsheets/d/11923uPwbBZFjjGgGUA6NLw09EwE0CqkOc4q9oUmW1yo/edit?usp=sharing"",""กำแพงเพชร!I519"")"),0)</f>
        <v>0</v>
      </c>
      <c r="J624" s="197">
        <f ca="1">IFERROR(__xludf.DUMMYFUNCTION("IMPORTRANGE(""https://docs.google.com/spreadsheets/d/11923uPwbBZFjjGgGUA6NLw09EwE0CqkOc4q9oUmW1yo/edit?usp=sharing"",""กำแพงเพชร!J519"")"),0)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IFERROR(__xludf.DUMMYFUNCTION("IMPORTRANGE(""https://docs.google.com/spreadsheets/d/11923uPwbBZFjjGgGUA6NLw09EwE0CqkOc4q9oUmW1yo/edit?usp=sharing"",""กำแพงเพชร!I520"")"),0)</f>
        <v>0</v>
      </c>
      <c r="J625" s="198">
        <f ca="1">IFERROR(__xludf.DUMMYFUNCTION("IMPORTRANGE(""https://docs.google.com/spreadsheets/d/11923uPwbBZFjjGgGUA6NLw09EwE0CqkOc4q9oUmW1yo/edit?usp=sharing"",""กำแพงเพชร!J520"")"),0)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IFERROR(__xludf.DUMMYFUNCTION("IMPORTRANGE(""https://docs.google.com/spreadsheets/d/11923uPwbBZFjjGgGUA6NLw09EwE0CqkOc4q9oUmW1yo/edit?usp=sharing"",""กำแพงเพชร!I521"")"),0)</f>
        <v>0</v>
      </c>
      <c r="J626" s="198">
        <f ca="1">IFERROR(__xludf.DUMMYFUNCTION("IMPORTRANGE(""https://docs.google.com/spreadsheets/d/11923uPwbBZFjjGgGUA6NLw09EwE0CqkOc4q9oUmW1yo/edit?usp=sharing"",""กำแพงเพชร!J521"")"),0)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IFERROR(__xludf.DUMMYFUNCTION("IMPORTRANGE(""https://docs.google.com/spreadsheets/d/11923uPwbBZFjjGgGUA6NLw09EwE0CqkOc4q9oUmW1yo/edit?usp=sharing"",""กำแพงเพชร!I523"")"),5000000)</f>
        <v>5000000</v>
      </c>
      <c r="J628" s="349">
        <f ca="1">IFERROR(__xludf.DUMMYFUNCTION("IMPORTRANGE(""https://docs.google.com/spreadsheets/d/11923uPwbBZFjjGgGUA6NLw09EwE0CqkOc4q9oUmW1yo/edit?usp=sharing"",""กำแพงเพชร!J523"")"),420000)</f>
        <v>420000</v>
      </c>
      <c r="K628" s="350">
        <f t="shared" ref="K628:K635" ca="1" si="129">IF(I628&gt;0,J628*100/I628,0)</f>
        <v>8.4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IFERROR(__xludf.DUMMYFUNCTION("IMPORTRANGE(""https://docs.google.com/spreadsheets/d/11923uPwbBZFjjGgGUA6NLw09EwE0CqkOc4q9oUmW1yo/edit?usp=sharing"",""กำแพงเพชร!I524"")"),161)</f>
        <v>161</v>
      </c>
      <c r="J629" s="349">
        <f ca="1">IFERROR(__xludf.DUMMYFUNCTION("IMPORTRANGE(""https://docs.google.com/spreadsheets/d/11923uPwbBZFjjGgGUA6NLw09EwE0CqkOc4q9oUmW1yo/edit?usp=sharing"",""กำแพงเพชร!J524"")"),14)</f>
        <v>14</v>
      </c>
      <c r="K629" s="350">
        <f t="shared" ca="1" si="129"/>
        <v>8.695652173913043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49">
        <f ca="1">IFERROR(__xludf.DUMMYFUNCTION("IMPORTRANGE(""https://docs.google.com/spreadsheets/d/11923uPwbBZFjjGgGUA6NLw09EwE0CqkOc4q9oUmW1yo/edit?usp=sharing"",""กำแพงเพชร!J525"")"),620071.78)</f>
        <v>620071.78</v>
      </c>
      <c r="K630" s="350">
        <f t="shared" ca="1" si="129"/>
        <v>12.4764534955671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IFERROR(__xludf.DUMMYFUNCTION("IMPORTRANGE(""https://docs.google.com/spreadsheets/d/11923uPwbBZFjjGgGUA6NLw09EwE0CqkOc4q9oUmW1yo/edit?usp=sharing"",""กำแพงเพชร!I526"")"),126)</f>
        <v>126</v>
      </c>
      <c r="J631" s="349">
        <f ca="1">IFERROR(__xludf.DUMMYFUNCTION("IMPORTRANGE(""https://docs.google.com/spreadsheets/d/11923uPwbBZFjjGgGUA6NLw09EwE0CqkOc4q9oUmW1yo/edit?usp=sharing"",""กำแพงเพชร!J526"")"),34)</f>
        <v>34</v>
      </c>
      <c r="K631" s="350">
        <f t="shared" ca="1" si="129"/>
        <v>26.984126984126984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49">
        <f ca="1">IFERROR(__xludf.DUMMYFUNCTION("IMPORTRANGE(""https://docs.google.com/spreadsheets/d/11923uPwbBZFjjGgGUA6NLw09EwE0CqkOc4q9oUmW1yo/edit?usp=sharing"",""กำแพงเพชร!J527"")"),471831.66)</f>
        <v>471831.66</v>
      </c>
      <c r="K632" s="350">
        <f t="shared" ca="1" si="129"/>
        <v>18.713749278326588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IFERROR(__xludf.DUMMYFUNCTION("IMPORTRANGE(""https://docs.google.com/spreadsheets/d/11923uPwbBZFjjGgGUA6NLw09EwE0CqkOc4q9oUmW1yo/edit?usp=sharing"",""กำแพงเพชร!I528"")"),293)</f>
        <v>293</v>
      </c>
      <c r="J633" s="349">
        <f ca="1">IFERROR(__xludf.DUMMYFUNCTION("IMPORTRANGE(""https://docs.google.com/spreadsheets/d/11923uPwbBZFjjGgGUA6NLw09EwE0CqkOc4q9oUmW1yo/edit?usp=sharing"",""กำแพงเพชร!J528"")"),67)</f>
        <v>67</v>
      </c>
      <c r="K633" s="350">
        <f t="shared" ca="1" si="129"/>
        <v>22.866894197952217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IFERROR(__xludf.DUMMYFUNCTION("IMPORTRANGE(""https://docs.google.com/spreadsheets/d/11923uPwbBZFjjGgGUA6NLw09EwE0CqkOc4q9oUmW1yo/edit?usp=sharing"",""กำแพงเพชร!I529"")"),5000000)</f>
        <v>5000000</v>
      </c>
      <c r="J634" s="349">
        <f ca="1">IFERROR(__xludf.DUMMYFUNCTION("IMPORTRANGE(""https://docs.google.com/spreadsheets/d/11923uPwbBZFjjGgGUA6NLw09EwE0CqkOc4q9oUmW1yo/edit?usp=sharing"",""กำแพงเพชร!J529"")"),0)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IFERROR(__xludf.DUMMYFUNCTION("IMPORTRANGE(""https://docs.google.com/spreadsheets/d/11923uPwbBZFjjGgGUA6NLw09EwE0CqkOc4q9oUmW1yo/edit?usp=sharing"",""กำแพงเพชร!I530"")"),164)</f>
        <v>164</v>
      </c>
      <c r="J635" s="519">
        <f ca="1">IFERROR(__xludf.DUMMYFUNCTION("IMPORTRANGE(""https://docs.google.com/spreadsheets/d/11923uPwbBZFjjGgGUA6NLw09EwE0CqkOc4q9oUmW1yo/edit?usp=sharing"",""กำแพงเพชร!J530"")"),0)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9" sqref="J9"/>
      <selection pane="bottomLeft" activeCell="L573" sqref="L573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1.33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240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7068659</v>
      </c>
      <c r="M8" s="25">
        <f t="shared" ca="1" si="0"/>
        <v>2422750</v>
      </c>
      <c r="N8" s="25">
        <f t="shared" ca="1" si="0"/>
        <v>1994227</v>
      </c>
      <c r="O8" s="24">
        <f t="shared" ref="O8:O16" ca="1" si="1">IF(L8&gt;0,N8*100/L8,0)</f>
        <v>28.212239407785834</v>
      </c>
      <c r="P8" s="24">
        <f t="shared" ref="P8:P16" ca="1" si="2">IF(M8&gt;0,N8*100/M8,0)</f>
        <v>82.312537405840473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7068659</v>
      </c>
      <c r="M10" s="32">
        <f t="shared" ca="1" si="4"/>
        <v>2422750</v>
      </c>
      <c r="N10" s="32">
        <f t="shared" ca="1" si="4"/>
        <v>1994227</v>
      </c>
      <c r="O10" s="31">
        <f t="shared" ca="1" si="1"/>
        <v>28.212239407785834</v>
      </c>
      <c r="P10" s="31">
        <f t="shared" ca="1" si="2"/>
        <v>82.312537405840473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6883859</v>
      </c>
      <c r="M12" s="40">
        <f t="shared" ca="1" si="6"/>
        <v>2422750</v>
      </c>
      <c r="N12" s="40">
        <f t="shared" ca="1" si="6"/>
        <v>1809427</v>
      </c>
      <c r="O12" s="40">
        <f t="shared" ca="1" si="1"/>
        <v>26.285067721462628</v>
      </c>
      <c r="P12" s="40">
        <f t="shared" ca="1" si="2"/>
        <v>74.684841605613457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2745700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4138159</v>
      </c>
      <c r="M14" s="40">
        <f t="shared" si="8"/>
        <v>0</v>
      </c>
      <c r="N14" s="40">
        <f t="shared" ca="1" si="8"/>
        <v>227630</v>
      </c>
      <c r="O14" s="43">
        <f t="shared" ca="1" si="1"/>
        <v>5.5007552875566166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184800</v>
      </c>
      <c r="M16" s="40">
        <f t="shared" si="10"/>
        <v>0</v>
      </c>
      <c r="N16" s="40">
        <f t="shared" ca="1" si="10"/>
        <v>184800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4633740</v>
      </c>
      <c r="M18" s="25">
        <f t="shared" ca="1" si="11"/>
        <v>2422750</v>
      </c>
      <c r="N18" s="25">
        <f t="shared" ca="1" si="11"/>
        <v>1766597</v>
      </c>
      <c r="O18" s="24">
        <f t="shared" ref="O18:O20" ca="1" si="12">IF(L18&gt;0,N18*100/L18,0)</f>
        <v>38.12464661375045</v>
      </c>
      <c r="P18" s="24">
        <f t="shared" ref="P18:P26" ca="1" si="13">IF(M18&gt;0,N18*100/M18,0)</f>
        <v>72.917015787844392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4633740</v>
      </c>
      <c r="M20" s="32">
        <f t="shared" ca="1" si="15"/>
        <v>2422750</v>
      </c>
      <c r="N20" s="32">
        <f t="shared" ca="1" si="15"/>
        <v>1766597</v>
      </c>
      <c r="O20" s="31">
        <f t="shared" ca="1" si="12"/>
        <v>38.12464661375045</v>
      </c>
      <c r="P20" s="31">
        <f t="shared" ca="1" si="13"/>
        <v>72.917015787844392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4448940</v>
      </c>
      <c r="M22" s="44">
        <f t="shared" ca="1" si="18"/>
        <v>2422750</v>
      </c>
      <c r="N22" s="43">
        <f t="shared" ca="1" si="18"/>
        <v>1581797</v>
      </c>
      <c r="O22" s="43">
        <f t="shared" ca="1" si="17"/>
        <v>35.554469154450274</v>
      </c>
      <c r="P22" s="43">
        <f t="shared" ca="1" si="13"/>
        <v>65.289319987617375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2745700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1703240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184800</v>
      </c>
      <c r="M26" s="52">
        <f t="shared" si="22"/>
        <v>0</v>
      </c>
      <c r="N26" s="52">
        <f t="shared" ca="1" si="22"/>
        <v>184800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2434919</v>
      </c>
      <c r="M28" s="25">
        <f t="shared" si="23"/>
        <v>0</v>
      </c>
      <c r="N28" s="25">
        <f t="shared" ca="1" si="23"/>
        <v>227630</v>
      </c>
      <c r="O28" s="24">
        <f t="shared" ref="O28:O30" ca="1" si="24">IF(L28&gt;0,N28*100/L28,0)</f>
        <v>9.3485655991020646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2434919</v>
      </c>
      <c r="M30" s="32">
        <f t="shared" si="27"/>
        <v>0</v>
      </c>
      <c r="N30" s="32">
        <f t="shared" ca="1" si="27"/>
        <v>227630</v>
      </c>
      <c r="O30" s="31">
        <f t="shared" ca="1" si="24"/>
        <v>9.3485655991020646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2434919</v>
      </c>
      <c r="M32" s="43">
        <f t="shared" si="30"/>
        <v>0</v>
      </c>
      <c r="N32" s="43">
        <f t="shared" ca="1" si="30"/>
        <v>227630</v>
      </c>
      <c r="O32" s="43">
        <f t="shared" ca="1" si="29"/>
        <v>9.3485655991020646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2434919</v>
      </c>
      <c r="M34" s="43">
        <f t="shared" si="32"/>
        <v>0</v>
      </c>
      <c r="N34" s="43">
        <f t="shared" ca="1" si="32"/>
        <v>227630</v>
      </c>
      <c r="O34" s="43">
        <f t="shared" ca="1" si="29"/>
        <v>9.3485655991020646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4633740</v>
      </c>
      <c r="M37" s="57">
        <f t="shared" ca="1" si="33"/>
        <v>2422750</v>
      </c>
      <c r="N37" s="57">
        <f t="shared" ca="1" si="33"/>
        <v>1766597</v>
      </c>
      <c r="O37" s="58">
        <f t="shared" ca="1" si="29"/>
        <v>38.12464661375045</v>
      </c>
      <c r="P37" s="58">
        <f t="shared" ca="1" si="25"/>
        <v>72.917015787844392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750700</v>
      </c>
      <c r="M41" s="81">
        <f t="shared" ca="1" si="34"/>
        <v>375400</v>
      </c>
      <c r="N41" s="81">
        <f t="shared" ca="1" si="34"/>
        <v>307350</v>
      </c>
      <c r="O41" s="80">
        <f t="shared" ref="O41:O43" ca="1" si="35">IF(L41&gt;0,N41*100/L41,0)</f>
        <v>40.941787664846146</v>
      </c>
      <c r="P41" s="80">
        <f t="shared" ref="P41:P43" ca="1" si="36">IF(M41&gt;0,N41*100/M41,0)</f>
        <v>81.872669152903569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750700</v>
      </c>
      <c r="M43" s="81">
        <f t="shared" ca="1" si="38"/>
        <v>375400</v>
      </c>
      <c r="N43" s="81">
        <f t="shared" ca="1" si="38"/>
        <v>307350</v>
      </c>
      <c r="O43" s="80">
        <f t="shared" ca="1" si="35"/>
        <v>40.941787664846146</v>
      </c>
      <c r="P43" s="80">
        <f t="shared" ca="1" si="36"/>
        <v>81.872669152903569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750700</v>
      </c>
      <c r="M45" s="93">
        <f ca="1">IFERROR(__xludf.DUMMYFUNCTION("IMPORTRANGE(""https://docs.google.com/spreadsheets/d/1Yj_ptqi66GCucihVvJfMjLAmec39IyEx_6qawtMGysU/edit?usp=sharing"",""สบก!Q21"")"),375400)</f>
        <v>375400</v>
      </c>
      <c r="N45" s="93">
        <f ca="1">IFERROR(__xludf.DUMMYFUNCTION("IMPORTRANGE(""https://docs.google.com/spreadsheets/d/1Yj_ptqi66GCucihVvJfMjLAmec39IyEx_6qawtMGysU/edit?usp=sharing"",""สบก!R21"")"),307350)</f>
        <v>307350</v>
      </c>
      <c r="O45" s="94">
        <f ca="1">IF(L45&gt;0,N45*100/L45,0)</f>
        <v>40.941787664846146</v>
      </c>
      <c r="P45" s="94">
        <f ca="1">IF(M45&gt;0,N45*100/M45,0)</f>
        <v>81.872669152903569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IFERROR(__xludf.DUMMYFUNCTION("IMPORTRANGE(""https://docs.google.com/spreadsheets/d/1Yj_ptqi66GCucihVvJfMjLAmec39IyEx_6qawtMGysU/edit?usp=sharing"",""สบก!M21"")"),750700)</f>
        <v>750700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IFERROR(__xludf.DUMMYFUNCTION("IMPORTRANGE(""https://docs.google.com/spreadsheets/d/1Yj_ptqi66GCucihVvJfMjLAmec39IyEx_6qawtMGysU/edit?usp=sharing"",""สบก!N21"")"),0)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IFERROR(__xludf.DUMMYFUNCTION("IMPORTRANGE(""https://docs.google.com/spreadsheets/d/1Yj_ptqi66GCucihVvJfMjLAmec39IyEx_6qawtMGysU/edit?usp=sharing"",""สบก!O21"")"),0)</f>
        <v>0</v>
      </c>
      <c r="M49" s="103"/>
      <c r="N49" s="93">
        <f ca="1">IFERROR(__xludf.DUMMYFUNCTION("IMPORTRANGE(""https://docs.google.com/spreadsheets/d/1Yj_ptqi66GCucihVvJfMjLAmec39IyEx_6qawtMGysU/edit?usp=sharing"",""สบก!S21"")"),0)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700000</v>
      </c>
      <c r="M53" s="127">
        <f t="shared" ca="1" si="39"/>
        <v>367640</v>
      </c>
      <c r="N53" s="127">
        <f t="shared" ca="1" si="39"/>
        <v>273228</v>
      </c>
      <c r="O53" s="126">
        <f t="shared" ref="O53:O55" ca="1" si="40">IF(L53&gt;0,N53*100/L53,0)</f>
        <v>39.03257142857143</v>
      </c>
      <c r="P53" s="126">
        <f t="shared" ref="P53:P55" ca="1" si="41">IF(M53&gt;0,N53*100/M53,0)</f>
        <v>74.319442933304316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700000</v>
      </c>
      <c r="M55" s="127">
        <f t="shared" ca="1" si="43"/>
        <v>367640</v>
      </c>
      <c r="N55" s="127">
        <f t="shared" ca="1" si="43"/>
        <v>273228</v>
      </c>
      <c r="O55" s="126">
        <f t="shared" ca="1" si="40"/>
        <v>39.03257142857143</v>
      </c>
      <c r="P55" s="126">
        <f t="shared" ca="1" si="41"/>
        <v>74.319442933304316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700000</v>
      </c>
      <c r="M57" s="93">
        <f ca="1">IFERROR(__xludf.DUMMYFUNCTION("IMPORTRANGE(""https://docs.google.com/spreadsheets/d/1Yj_ptqi66GCucihVvJfMjLAmec39IyEx_6qawtMGysU/edit?usp=sharing"",""สบก!Z21"")"),367640)</f>
        <v>367640</v>
      </c>
      <c r="N57" s="93">
        <f ca="1">IFERROR(__xludf.DUMMYFUNCTION("IMPORTRANGE(""https://docs.google.com/spreadsheets/d/1Yj_ptqi66GCucihVvJfMjLAmec39IyEx_6qawtMGysU/edit?usp=sharing"",""สบก!AA21"")"),273228)</f>
        <v>273228</v>
      </c>
      <c r="O57" s="94">
        <f ca="1">IF(L57&gt;0,N57*100/L57,0)</f>
        <v>39.03257142857143</v>
      </c>
      <c r="P57" s="94">
        <f ca="1">IF(M57&gt;0,N57*100/M57,0)</f>
        <v>74.319442933304316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IFERROR(__xludf.DUMMYFUNCTION("IMPORTRANGE(""https://docs.google.com/spreadsheets/d/1Yj_ptqi66GCucihVvJfMjLAmec39IyEx_6qawtMGysU/edit?usp=sharing"",""สบก!V21"")"),700000)</f>
        <v>700000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IFERROR(__xludf.DUMMYFUNCTION("IMPORTRANGE(""https://docs.google.com/spreadsheets/d/1Yj_ptqi66GCucihVvJfMjLAmec39IyEx_6qawtMGysU/edit?usp=sharing"",""สบก!W21"")"),0)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IFERROR(__xludf.DUMMYFUNCTION("IMPORTRANGE(""https://docs.google.com/spreadsheets/d/1Yj_ptqi66GCucihVvJfMjLAmec39IyEx_6qawtMGysU/edit?usp=sharing"",""สบก!X21"")"),0)</f>
        <v>0</v>
      </c>
      <c r="M61" s="103"/>
      <c r="N61" s="93">
        <f ca="1">IFERROR(__xludf.DUMMYFUNCTION("IMPORTRANGE(""https://docs.google.com/spreadsheets/d/1Yj_ptqi66GCucihVvJfMjLAmec39IyEx_6qawtMGysU/edit?usp=sharing"",""สบก!AB21"")"),0)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IFERROR(__xludf.DUMMYFUNCTION("IMPORTRANGE(""https://docs.google.com/spreadsheets/d/11923uPwbBZFjjGgGUA6NLw09EwE0CqkOc4q9oUmW1yo/edit?usp=sharing"",""เชียงราย!I9"")"),1)</f>
        <v>1</v>
      </c>
      <c r="J64" s="148">
        <f ca="1">IFERROR(__xludf.DUMMYFUNCTION("IMPORTRANGE(""https://docs.google.com/spreadsheets/d/11923uPwbBZFjjGgGUA6NLw09EwE0CqkOc4q9oUmW1yo/edit?usp=sharing"",""เชียงราย!J9"")"),1)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IFERROR(__xludf.DUMMYFUNCTION("IMPORTRANGE(""https://docs.google.com/spreadsheets/d/11923uPwbBZFjjGgGUA6NLw09EwE0CqkOc4q9oUmW1yo/edit?usp=sharing"",""เชียงราย!I10"")"),60)</f>
        <v>60</v>
      </c>
      <c r="J65" s="148">
        <f ca="1">IFERROR(__xludf.DUMMYFUNCTION("IMPORTRANGE(""https://docs.google.com/spreadsheets/d/11923uPwbBZFjjGgGUA6NLw09EwE0CqkOc4q9oUmW1yo/edit?usp=sharing"",""เชียงราย!J10"")"),60)</f>
        <v>60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548000</v>
      </c>
      <c r="M66" s="158">
        <f t="shared" ca="1" si="45"/>
        <v>310620</v>
      </c>
      <c r="N66" s="158">
        <f t="shared" ca="1" si="45"/>
        <v>166915</v>
      </c>
      <c r="O66" s="157">
        <f t="shared" ref="O66:O68" ca="1" si="46">IF(L66&gt;0,N66*100/L66,0)</f>
        <v>30.458941605839417</v>
      </c>
      <c r="P66" s="157">
        <f t="shared" ref="P66:P68" ca="1" si="47">IF(M66&gt;0,N66*100/M66,0)</f>
        <v>53.736076234627518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548000</v>
      </c>
      <c r="M68" s="163">
        <f t="shared" ca="1" si="49"/>
        <v>310620</v>
      </c>
      <c r="N68" s="163">
        <f t="shared" ca="1" si="49"/>
        <v>166915</v>
      </c>
      <c r="O68" s="162">
        <f t="shared" ca="1" si="46"/>
        <v>30.458941605839417</v>
      </c>
      <c r="P68" s="162">
        <f t="shared" ca="1" si="47"/>
        <v>53.736076234627518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548000</v>
      </c>
      <c r="M70" s="176">
        <f ca="1">IFERROR(__xludf.DUMMYFUNCTION("IMPORTRANGE(""https://docs.google.com/spreadsheets/d/1Yj_ptqi66GCucihVvJfMjLAmec39IyEx_6qawtMGysU/edit?usp=sharing"",""สบก!AI21"")"),310620)</f>
        <v>310620</v>
      </c>
      <c r="N70" s="177">
        <f ca="1">IFERROR(__xludf.DUMMYFUNCTION("IMPORTRANGE(""https://docs.google.com/spreadsheets/d/1Yj_ptqi66GCucihVvJfMjLAmec39IyEx_6qawtMGysU/edit?usp=sharing"",""สบก!AJ21"")"),166915)</f>
        <v>166915</v>
      </c>
      <c r="O70" s="178">
        <f ca="1">IF(L70&gt;0,N70*100/L70,0)</f>
        <v>30.458941605839417</v>
      </c>
      <c r="P70" s="178">
        <f ca="1">IF(M70&gt;0,N70*100/M70,0)</f>
        <v>53.736076234627518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IFERROR(__xludf.DUMMYFUNCTION("IMPORTRANGE(""https://docs.google.com/spreadsheets/d/1Yj_ptqi66GCucihVvJfMjLAmec39IyEx_6qawtMGysU/edit?usp=sharing"",""สบก!AE21"")"),0)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IFERROR(__xludf.DUMMYFUNCTION("IMPORTRANGE(""https://docs.google.com/spreadsheets/d/1Yj_ptqi66GCucihVvJfMjLAmec39IyEx_6qawtMGysU/edit?usp=sharing"",""สบก!AF21"")"),548000)</f>
        <v>548000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IFERROR(__xludf.DUMMYFUNCTION("IMPORTRANGE(""https://docs.google.com/spreadsheets/d/1Yj_ptqi66GCucihVvJfMjLAmec39IyEx_6qawtMGysU/edit?usp=sharing"",""สบก!AG21"")"),0)</f>
        <v>0</v>
      </c>
      <c r="M74" s="103"/>
      <c r="N74" s="93">
        <f ca="1">IFERROR(__xludf.DUMMYFUNCTION("IMPORTRANGE(""https://docs.google.com/spreadsheets/d/1Yj_ptqi66GCucihVvJfMjLAmec39IyEx_6qawtMGysU/edit?usp=sharing"",""สบก!AK21"")"),0)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IFERROR(__xludf.DUMMYFUNCTION("IMPORTRANGE(""https://docs.google.com/spreadsheets/d/11923uPwbBZFjjGgGUA6NLw09EwE0CqkOc4q9oUmW1yo/edit?usp=sharing"",""เชียงราย!J16"")"),0)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IFERROR(__xludf.DUMMYFUNCTION("IMPORTRANGE(""https://docs.google.com/spreadsheets/d/11923uPwbBZFjjGgGUA6NLw09EwE0CqkOc4q9oUmW1yo/edit?usp=sharing"",""เชียงราย!J17"")"),1)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IFERROR(__xludf.DUMMYFUNCTION("IMPORTRANGE(""https://docs.google.com/spreadsheets/d/11923uPwbBZFjjGgGUA6NLw09EwE0CqkOc4q9oUmW1yo/edit?usp=sharing"",""เชียงราย!J18"")"),1)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IFERROR(__xludf.DUMMYFUNCTION("IMPORTRANGE(""https://docs.google.com/spreadsheets/d/11923uPwbBZFjjGgGUA6NLw09EwE0CqkOc4q9oUmW1yo/edit?usp=sharing"",""เชียงราย!J19"")"),1)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IFERROR(__xludf.DUMMYFUNCTION("IMPORTRANGE(""https://docs.google.com/spreadsheets/d/11923uPwbBZFjjGgGUA6NLw09EwE0CqkOc4q9oUmW1yo/edit?usp=sharing"",""เชียงราย!I20"")"),1)</f>
        <v>1</v>
      </c>
      <c r="J80" s="210">
        <f ca="1">IFERROR(__xludf.DUMMYFUNCTION("IMPORTRANGE(""https://docs.google.com/spreadsheets/d/11923uPwbBZFjjGgGUA6NLw09EwE0CqkOc4q9oUmW1yo/edit?usp=sharing"",""เชียงราย!J20"")"),1)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IFERROR(__xludf.DUMMYFUNCTION("IMPORTRANGE(""https://docs.google.com/spreadsheets/d/11923uPwbBZFjjGgGUA6NLw09EwE0CqkOc4q9oUmW1yo/edit?usp=sharing"",""เชียงราย!I21"")"),60)</f>
        <v>60</v>
      </c>
      <c r="J81" s="210">
        <f ca="1">IFERROR(__xludf.DUMMYFUNCTION("IMPORTRANGE(""https://docs.google.com/spreadsheets/d/11923uPwbBZFjjGgGUA6NLw09EwE0CqkOc4q9oUmW1yo/edit?usp=sharing"",""เชียงราย!J21"")"),60)</f>
        <v>60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IFERROR(__xludf.DUMMYFUNCTION("IMPORTRANGE(""https://docs.google.com/spreadsheets/d/11923uPwbBZFjjGgGUA6NLw09EwE0CqkOc4q9oUmW1yo/edit?usp=sharing"",""เชียงราย!I22"")"),1)</f>
        <v>1</v>
      </c>
      <c r="J82" s="213">
        <f ca="1">IFERROR(__xludf.DUMMYFUNCTION("IMPORTRANGE(""https://docs.google.com/spreadsheets/d/11923uPwbBZFjjGgGUA6NLw09EwE0CqkOc4q9oUmW1yo/edit?usp=sharing"",""เชียงราย!J22"")"),1)</f>
        <v>1</v>
      </c>
      <c r="K82" s="171">
        <f t="shared" ca="1" si="50"/>
        <v>100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IFERROR(__xludf.DUMMYFUNCTION("IMPORTRANGE(""https://docs.google.com/spreadsheets/d/11923uPwbBZFjjGgGUA6NLw09EwE0CqkOc4q9oUmW1yo/edit?usp=sharing"",""เชียงราย!I23"")"),60)</f>
        <v>60</v>
      </c>
      <c r="J83" s="213">
        <f ca="1">IFERROR(__xludf.DUMMYFUNCTION("IMPORTRANGE(""https://docs.google.com/spreadsheets/d/11923uPwbBZFjjGgGUA6NLw09EwE0CqkOc4q9oUmW1yo/edit?usp=sharing"",""เชียงราย!J23"")"),60)</f>
        <v>60</v>
      </c>
      <c r="K83" s="171">
        <f t="shared" ca="1" si="50"/>
        <v>100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IFERROR(__xludf.DUMMYFUNCTION("IMPORTRANGE(""https://docs.google.com/spreadsheets/d/11923uPwbBZFjjGgGUA6NLw09EwE0CqkOc4q9oUmW1yo/edit?usp=sharing"",""เชียงราย!I24"")"),0)</f>
        <v>0</v>
      </c>
      <c r="J84" s="198">
        <f ca="1">IFERROR(__xludf.DUMMYFUNCTION("IMPORTRANGE(""https://docs.google.com/spreadsheets/d/11923uPwbBZFjjGgGUA6NLw09EwE0CqkOc4q9oUmW1yo/edit?usp=sharing"",""เชียงราย!J24"")"),0)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IFERROR(__xludf.DUMMYFUNCTION("IMPORTRANGE(""https://docs.google.com/spreadsheets/d/11923uPwbBZFjjGgGUA6NLw09EwE0CqkOc4q9oUmW1yo/edit?usp=sharing"",""เชียงราย!I25"")"),0)</f>
        <v>0</v>
      </c>
      <c r="J85" s="198">
        <f ca="1">IFERROR(__xludf.DUMMYFUNCTION("IMPORTRANGE(""https://docs.google.com/spreadsheets/d/11923uPwbBZFjjGgGUA6NLw09EwE0CqkOc4q9oUmW1yo/edit?usp=sharing"",""เชียงราย!J25"")"),0)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IFERROR(__xludf.DUMMYFUNCTION("IMPORTRANGE(""https://docs.google.com/spreadsheets/d/11923uPwbBZFjjGgGUA6NLw09EwE0CqkOc4q9oUmW1yo/edit?usp=sharing"",""เชียงราย!I26"")"),0)</f>
        <v>0</v>
      </c>
      <c r="J86" s="213">
        <f ca="1">IFERROR(__xludf.DUMMYFUNCTION("IMPORTRANGE(""https://docs.google.com/spreadsheets/d/11923uPwbBZFjjGgGUA6NLw09EwE0CqkOc4q9oUmW1yo/edit?usp=sharing"",""เชียงราย!J26"")"),0)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IFERROR(__xludf.DUMMYFUNCTION("IMPORTRANGE(""https://docs.google.com/spreadsheets/d/11923uPwbBZFjjGgGUA6NLw09EwE0CqkOc4q9oUmW1yo/edit?usp=sharing"",""เชียงราย!I27"")"),0)</f>
        <v>0</v>
      </c>
      <c r="J87" s="213">
        <f ca="1">IFERROR(__xludf.DUMMYFUNCTION("IMPORTRANGE(""https://docs.google.com/spreadsheets/d/11923uPwbBZFjjGgGUA6NLw09EwE0CqkOc4q9oUmW1yo/edit?usp=sharing"",""เชียงราย!J27"")"),0)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IFERROR(__xludf.DUMMYFUNCTION("IMPORTRANGE(""https://docs.google.com/spreadsheets/d/11923uPwbBZFjjGgGUA6NLw09EwE0CqkOc4q9oUmW1yo/edit?usp=sharing"",""เชียงราย!I28"")"),60)</f>
        <v>60</v>
      </c>
      <c r="J88" s="213">
        <f ca="1">IFERROR(__xludf.DUMMYFUNCTION("IMPORTRANGE(""https://docs.google.com/spreadsheets/d/11923uPwbBZFjjGgGUA6NLw09EwE0CqkOc4q9oUmW1yo/edit?usp=sharing"",""เชียงราย!J28"")"),0)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IFERROR(__xludf.DUMMYFUNCTION("IMPORTRANGE(""https://docs.google.com/spreadsheets/d/11923uPwbBZFjjGgGUA6NLw09EwE0CqkOc4q9oUmW1yo/edit?usp=sharing"",""เชียงราย!J29"")"),0)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IFERROR(__xludf.DUMMYFUNCTION("IMPORTRANGE(""https://docs.google.com/spreadsheets/d/11923uPwbBZFjjGgGUA6NLw09EwE0CqkOc4q9oUmW1yo/edit?usp=sharing"",""เชียงราย!J30"")"),0)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IFERROR(__xludf.DUMMYFUNCTION("IMPORTRANGE(""https://docs.google.com/spreadsheets/d/11923uPwbBZFjjGgGUA6NLw09EwE0CqkOc4q9oUmW1yo/edit?usp=sharing"",""เชียงราย!I32"")"),7)</f>
        <v>7</v>
      </c>
      <c r="J92" s="148">
        <f ca="1">IFERROR(__xludf.DUMMYFUNCTION("IMPORTRANGE(""https://docs.google.com/spreadsheets/d/11923uPwbBZFjjGgGUA6NLw09EwE0CqkOc4q9oUmW1yo/edit?usp=sharing"",""เชียงราย!J32"")"),0)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IFERROR(__xludf.DUMMYFUNCTION("IMPORTRANGE(""https://docs.google.com/spreadsheets/d/11923uPwbBZFjjGgGUA6NLw09EwE0CqkOc4q9oUmW1yo/edit?usp=sharing"",""เชียงราย!I33"")"),2)</f>
        <v>2</v>
      </c>
      <c r="J93" s="148">
        <f ca="1">IFERROR(__xludf.DUMMYFUNCTION("IMPORTRANGE(""https://docs.google.com/spreadsheets/d/11923uPwbBZFjjGgGUA6NLw09EwE0CqkOc4q9oUmW1yo/edit?usp=sharing"",""เชียงราย!J33"")"),0)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318960</v>
      </c>
      <c r="M94" s="158">
        <f t="shared" ca="1" si="52"/>
        <v>80790</v>
      </c>
      <c r="N94" s="158">
        <f t="shared" ca="1" si="52"/>
        <v>189800</v>
      </c>
      <c r="O94" s="157">
        <f t="shared" ref="O94:O96" ca="1" si="53">IF(L94&gt;0,N94*100/L94,0)</f>
        <v>59.505894156007024</v>
      </c>
      <c r="P94" s="157">
        <f t="shared" ref="P94:P96" ca="1" si="54">IF(M94&gt;0,N94*100/M94,0)</f>
        <v>234.9300656021785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318960</v>
      </c>
      <c r="M96" s="163">
        <f t="shared" ca="1" si="56"/>
        <v>80790</v>
      </c>
      <c r="N96" s="163">
        <f t="shared" ca="1" si="56"/>
        <v>189800</v>
      </c>
      <c r="O96" s="162">
        <f t="shared" ca="1" si="53"/>
        <v>59.505894156007024</v>
      </c>
      <c r="P96" s="162">
        <f t="shared" ca="1" si="54"/>
        <v>234.9300656021785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134160</v>
      </c>
      <c r="M98" s="176">
        <f ca="1">IFERROR(__xludf.DUMMYFUNCTION("IMPORTRANGE(""https://docs.google.com/spreadsheets/d/1Yj_ptqi66GCucihVvJfMjLAmec39IyEx_6qawtMGysU/edit?usp=sharing"",""สบก!AR21"")"),80790)</f>
        <v>80790</v>
      </c>
      <c r="N98" s="177">
        <f ca="1">IFERROR(__xludf.DUMMYFUNCTION("IMPORTRANGE(""https://docs.google.com/spreadsheets/d/1Yj_ptqi66GCucihVvJfMjLAmec39IyEx_6qawtMGysU/edit?usp=sharing"",""สบก!AS21"")"),5000)</f>
        <v>5000</v>
      </c>
      <c r="O98" s="178">
        <f ca="1">IF(L98&gt;0,N98*100/L98,0)</f>
        <v>3.7268932617769828</v>
      </c>
      <c r="P98" s="178">
        <f ca="1">IF(M98&gt;0,N98*100/M98,0)</f>
        <v>6.1888847629657135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IFERROR(__xludf.DUMMYFUNCTION("IMPORTRANGE(""https://docs.google.com/spreadsheets/d/1Yj_ptqi66GCucihVvJfMjLAmec39IyEx_6qawtMGysU/edit?usp=sharing"",""สบก!AN21"")"),0)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IFERROR(__xludf.DUMMYFUNCTION("IMPORTRANGE(""https://docs.google.com/spreadsheets/d/1Yj_ptqi66GCucihVvJfMjLAmec39IyEx_6qawtMGysU/edit?usp=sharing"",""สบก!AO21"")"),134160)</f>
        <v>134160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IFERROR(__xludf.DUMMYFUNCTION("IMPORTRANGE(""https://docs.google.com/spreadsheets/d/1Yj_ptqi66GCucihVvJfMjLAmec39IyEx_6qawtMGysU/edit?usp=sharing"",""สบก!AP21"")"),184800)</f>
        <v>184800</v>
      </c>
      <c r="M102" s="103"/>
      <c r="N102" s="93">
        <f ca="1">IFERROR(__xludf.DUMMYFUNCTION("IMPORTRANGE(""https://docs.google.com/spreadsheets/d/1Yj_ptqi66GCucihVvJfMjLAmec39IyEx_6qawtMGysU/edit?usp=sharing"",""สบก!AT21"")"),184800)</f>
        <v>184800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IFERROR(__xludf.DUMMYFUNCTION("IMPORTRANGE(""https://docs.google.com/spreadsheets/d/11923uPwbBZFjjGgGUA6NLw09EwE0CqkOc4q9oUmW1yo/edit?usp=sharing"",""เชียงราย!J39"")"),0)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IFERROR(__xludf.DUMMYFUNCTION("IMPORTRANGE(""https://docs.google.com/spreadsheets/d/11923uPwbBZFjjGgGUA6NLw09EwE0CqkOc4q9oUmW1yo/edit?usp=sharing"",""เชียงราย!J40"")"),1)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IFERROR(__xludf.DUMMYFUNCTION("IMPORTRANGE(""https://docs.google.com/spreadsheets/d/11923uPwbBZFjjGgGUA6NLw09EwE0CqkOc4q9oUmW1yo/edit?usp=sharing"",""เชียงราย!J41"")"),1)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IFERROR(__xludf.DUMMYFUNCTION("IMPORTRANGE(""https://docs.google.com/spreadsheets/d/11923uPwbBZFjjGgGUA6NLw09EwE0CqkOc4q9oUmW1yo/edit?usp=sharing"",""เชียงราย!J42"")"),1)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IFERROR(__xludf.DUMMYFUNCTION("IMPORTRANGE(""https://docs.google.com/spreadsheets/d/11923uPwbBZFjjGgGUA6NLw09EwE0CqkOc4q9oUmW1yo/edit?usp=sharing"",""เชียงราย!I43"")"),1)</f>
        <v>1</v>
      </c>
      <c r="J108" s="213">
        <f ca="1">IFERROR(__xludf.DUMMYFUNCTION("IMPORTRANGE(""https://docs.google.com/spreadsheets/d/11923uPwbBZFjjGgGUA6NLw09EwE0CqkOc4q9oUmW1yo/edit?usp=sharing"",""เชียงราย!J43"")"),0)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IFERROR(__xludf.DUMMYFUNCTION("IMPORTRANGE(""https://docs.google.com/spreadsheets/d/11923uPwbBZFjjGgGUA6NLw09EwE0CqkOc4q9oUmW1yo/edit?usp=sharing"",""เชียงราย!I44"")"),7)</f>
        <v>7</v>
      </c>
      <c r="J109" s="213">
        <f ca="1">IFERROR(__xludf.DUMMYFUNCTION("IMPORTRANGE(""https://docs.google.com/spreadsheets/d/11923uPwbBZFjjGgGUA6NLw09EwE0CqkOc4q9oUmW1yo/edit?usp=sharing"",""เชียงราย!J44"")"),0)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IFERROR(__xludf.DUMMYFUNCTION("IMPORTRANGE(""https://docs.google.com/spreadsheets/d/11923uPwbBZFjjGgGUA6NLw09EwE0CqkOc4q9oUmW1yo/edit?usp=sharing"",""เชียงราย!I45"")"),7)</f>
        <v>7</v>
      </c>
      <c r="J110" s="213">
        <f ca="1">IFERROR(__xludf.DUMMYFUNCTION("IMPORTRANGE(""https://docs.google.com/spreadsheets/d/11923uPwbBZFjjGgGUA6NLw09EwE0CqkOc4q9oUmW1yo/edit?usp=sharing"",""เชียงราย!J45"")"),7)</f>
        <v>7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IFERROR(__xludf.DUMMYFUNCTION("IMPORTRANGE(""https://docs.google.com/spreadsheets/d/11923uPwbBZFjjGgGUA6NLw09EwE0CqkOc4q9oUmW1yo/edit?usp=sharing"",""เชียงราย!I46"")"),7)</f>
        <v>7</v>
      </c>
      <c r="J111" s="213">
        <f ca="1">IFERROR(__xludf.DUMMYFUNCTION("IMPORTRANGE(""https://docs.google.com/spreadsheets/d/11923uPwbBZFjjGgGUA6NLw09EwE0CqkOc4q9oUmW1yo/edit?usp=sharing"",""เชียงราย!J46"")"),0)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IFERROR(__xludf.DUMMYFUNCTION("IMPORTRANGE(""https://docs.google.com/spreadsheets/d/11923uPwbBZFjjGgGUA6NLw09EwE0CqkOc4q9oUmW1yo/edit?usp=sharing"",""เชียงราย!I47"")"),7)</f>
        <v>7</v>
      </c>
      <c r="J112" s="213">
        <f ca="1">IFERROR(__xludf.DUMMYFUNCTION("IMPORTRANGE(""https://docs.google.com/spreadsheets/d/11923uPwbBZFjjGgGUA6NLw09EwE0CqkOc4q9oUmW1yo/edit?usp=sharing"",""เชียงราย!J47"")"),0)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IFERROR(__xludf.DUMMYFUNCTION("IMPORTRANGE(""https://docs.google.com/spreadsheets/d/11923uPwbBZFjjGgGUA6NLw09EwE0CqkOc4q9oUmW1yo/edit?usp=sharing"",""เชียงราย!I48"")"),2)</f>
        <v>2</v>
      </c>
      <c r="J113" s="213">
        <f ca="1">IFERROR(__xludf.DUMMYFUNCTION("IMPORTRANGE(""https://docs.google.com/spreadsheets/d/11923uPwbBZFjjGgGUA6NLw09EwE0CqkOc4q9oUmW1yo/edit?usp=sharing"",""เชียงราย!J48"")"),0)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IFERROR(__xludf.DUMMYFUNCTION("IMPORTRANGE(""https://docs.google.com/spreadsheets/d/11923uPwbBZFjjGgGUA6NLw09EwE0CqkOc4q9oUmW1yo/edit?usp=sharing"",""เชียงราย!J49"")"),0)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IFERROR(__xludf.DUMMYFUNCTION("IMPORTRANGE(""https://docs.google.com/spreadsheets/d/11923uPwbBZFjjGgGUA6NLw09EwE0CqkOc4q9oUmW1yo/edit?usp=sharing"",""เชียงราย!J50"")"),0)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IFERROR(__xludf.DUMMYFUNCTION("IMPORTRANGE(""https://docs.google.com/spreadsheets/d/11923uPwbBZFjjGgGUA6NLw09EwE0CqkOc4q9oUmW1yo/edit?usp=sharing"",""เชียงราย!I52"")"),0)</f>
        <v>0</v>
      </c>
      <c r="J117" s="148">
        <f ca="1">IFERROR(__xludf.DUMMYFUNCTION("IMPORTRANGE(""https://docs.google.com/spreadsheets/d/11923uPwbBZFjjGgGUA6NLw09EwE0CqkOc4q9oUmW1yo/edit?usp=sharing"",""เชียงราย!J52"")"),0)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IFERROR(__xludf.DUMMYFUNCTION("IMPORTRANGE(""https://docs.google.com/spreadsheets/d/1Yj_ptqi66GCucihVvJfMjLAmec39IyEx_6qawtMGysU/edit?usp=sharing"",""สบก!BA21"")"),0)</f>
        <v>0</v>
      </c>
      <c r="N122" s="177">
        <f ca="1">IFERROR(__xludf.DUMMYFUNCTION("IMPORTRANGE(""https://docs.google.com/spreadsheets/d/1Yj_ptqi66GCucihVvJfMjLAmec39IyEx_6qawtMGysU/edit?usp=sharing"",""สบก!BB21"")"),0)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IFERROR(__xludf.DUMMYFUNCTION("IMPORTRANGE(""https://docs.google.com/spreadsheets/d/1Yj_ptqi66GCucihVvJfMjLAmec39IyEx_6qawtMGysU/edit?usp=sharing"",""สบก!AW21"")"),0)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IFERROR(__xludf.DUMMYFUNCTION("IMPORTRANGE(""https://docs.google.com/spreadsheets/d/1Yj_ptqi66GCucihVvJfMjLAmec39IyEx_6qawtMGysU/edit?usp=sharing"",""สบก!AX21"")"),0)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IFERROR(__xludf.DUMMYFUNCTION("IMPORTRANGE(""https://docs.google.com/spreadsheets/d/1Yj_ptqi66GCucihVvJfMjLAmec39IyEx_6qawtMGysU/edit?usp=sharing"",""สบก!AY21"")"),0)</f>
        <v>0</v>
      </c>
      <c r="M126" s="103"/>
      <c r="N126" s="93">
        <f ca="1">IFERROR(__xludf.DUMMYFUNCTION("IMPORTRANGE(""https://docs.google.com/spreadsheets/d/1Yj_ptqi66GCucihVvJfMjLAmec39IyEx_6qawtMGysU/edit?usp=sharing"",""สบก!BC21"")"),0)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241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IFERROR(__xludf.DUMMYFUNCTION("IMPORTRANGE(""https://docs.google.com/spreadsheets/d/11923uPwbBZFjjGgGUA6NLw09EwE0CqkOc4q9oUmW1yo/edit?usp=sharing"",""เชียงราย!J58"")"),0)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IFERROR(__xludf.DUMMYFUNCTION("IMPORTRANGE(""https://docs.google.com/spreadsheets/d/11923uPwbBZFjjGgGUA6NLw09EwE0CqkOc4q9oUmW1yo/edit?usp=sharing"",""เชียงราย!J59"")"),0)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IFERROR(__xludf.DUMMYFUNCTION("IMPORTRANGE(""https://docs.google.com/spreadsheets/d/11923uPwbBZFjjGgGUA6NLw09EwE0CqkOc4q9oUmW1yo/edit?usp=sharing"",""เชียงราย!J60"")"),0)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IFERROR(__xludf.DUMMYFUNCTION("IMPORTRANGE(""https://docs.google.com/spreadsheets/d/11923uPwbBZFjjGgGUA6NLw09EwE0CqkOc4q9oUmW1yo/edit?usp=sharing"",""เชียงราย!J61"")"),0)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IFERROR(__xludf.DUMMYFUNCTION("IMPORTRANGE(""https://docs.google.com/spreadsheets/d/11923uPwbBZFjjGgGUA6NLw09EwE0CqkOc4q9oUmW1yo/edit?usp=sharing"",""เชียงราย!I62"")"),0)</f>
        <v>0</v>
      </c>
      <c r="J132" s="213">
        <f ca="1">IFERROR(__xludf.DUMMYFUNCTION("IMPORTRANGE(""https://docs.google.com/spreadsheets/d/11923uPwbBZFjjGgGUA6NLw09EwE0CqkOc4q9oUmW1yo/edit?usp=sharing"",""เชียงราย!J62"")"),0)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IFERROR(__xludf.DUMMYFUNCTION("IMPORTRANGE(""https://docs.google.com/spreadsheets/d/11923uPwbBZFjjGgGUA6NLw09EwE0CqkOc4q9oUmW1yo/edit?usp=sharing"",""เชียงราย!I63"")"),0)</f>
        <v>0</v>
      </c>
      <c r="J133" s="213">
        <f ca="1">IFERROR(__xludf.DUMMYFUNCTION("IMPORTRANGE(""https://docs.google.com/spreadsheets/d/11923uPwbBZFjjGgGUA6NLw09EwE0CqkOc4q9oUmW1yo/edit?usp=sharing"",""เชียงราย!J63"")"),0)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IFERROR(__xludf.DUMMYFUNCTION("IMPORTRANGE(""https://docs.google.com/spreadsheets/d/11923uPwbBZFjjGgGUA6NLw09EwE0CqkOc4q9oUmW1yo/edit?usp=sharing"",""เชียงราย!J64"")"),0)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IFERROR(__xludf.DUMMYFUNCTION("IMPORTRANGE(""https://docs.google.com/spreadsheets/d/11923uPwbBZFjjGgGUA6NLw09EwE0CqkOc4q9oUmW1yo/edit?usp=sharing"",""เชียงราย!J65"")"),0)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IFERROR(__xludf.DUMMYFUNCTION("IMPORTRANGE(""https://docs.google.com/spreadsheets/d/11923uPwbBZFjjGgGUA6NLw09EwE0CqkOc4q9oUmW1yo/edit?usp=sharing"",""เชียงราย!I68"")"),15)</f>
        <v>15</v>
      </c>
      <c r="J138" s="276">
        <f ca="1">IFERROR(__xludf.DUMMYFUNCTION("IMPORTRANGE(""https://docs.google.com/spreadsheets/d/11923uPwbBZFjjGgGUA6NLw09EwE0CqkOc4q9oUmW1yo/edit?usp=sharing"",""เชียงราย!J68"")"),15)</f>
        <v>15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579900</v>
      </c>
      <c r="M140" s="158">
        <f t="shared" ca="1" si="64"/>
        <v>320450</v>
      </c>
      <c r="N140" s="158">
        <f t="shared" ca="1" si="64"/>
        <v>204586</v>
      </c>
      <c r="O140" s="157">
        <f t="shared" ref="O140:O142" ca="1" si="65">IF(L140&gt;0,N140*100/L140,0)</f>
        <v>35.279530953612692</v>
      </c>
      <c r="P140" s="157">
        <f t="shared" ref="P140:P142" ca="1" si="66">IF(M140&gt;0,N140*100/M140,0)</f>
        <v>63.843345295677956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579900</v>
      </c>
      <c r="M142" s="163">
        <f t="shared" ca="1" si="68"/>
        <v>320450</v>
      </c>
      <c r="N142" s="163">
        <f t="shared" ca="1" si="68"/>
        <v>204586</v>
      </c>
      <c r="O142" s="162">
        <f t="shared" ca="1" si="65"/>
        <v>35.279530953612692</v>
      </c>
      <c r="P142" s="162">
        <f t="shared" ca="1" si="66"/>
        <v>63.843345295677956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579900</v>
      </c>
      <c r="M144" s="176">
        <f ca="1">IFERROR(__xludf.DUMMYFUNCTION("IMPORTRANGE(""https://docs.google.com/spreadsheets/d/1Yj_ptqi66GCucihVvJfMjLAmec39IyEx_6qawtMGysU/edit?usp=sharing"",""สบก!BJ21"")"),320450)</f>
        <v>320450</v>
      </c>
      <c r="N144" s="177">
        <f ca="1">IFERROR(__xludf.DUMMYFUNCTION("IMPORTRANGE(""https://docs.google.com/spreadsheets/d/1Yj_ptqi66GCucihVvJfMjLAmec39IyEx_6qawtMGysU/edit?usp=sharing"",""สบก!BK21"")"),204586)</f>
        <v>204586</v>
      </c>
      <c r="O144" s="178">
        <f ca="1">IF(L144&gt;0,N144*100/L144,0)</f>
        <v>35.279530953612692</v>
      </c>
      <c r="P144" s="178">
        <f ca="1">IF(M144&gt;0,N144*100/M144,0)</f>
        <v>63.843345295677956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IFERROR(__xludf.DUMMYFUNCTION("IMPORTRANGE(""https://docs.google.com/spreadsheets/d/1Yj_ptqi66GCucihVvJfMjLAmec39IyEx_6qawtMGysU/edit?usp=sharing"",""สบก!BF21"")"),463400)</f>
        <v>463400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IFERROR(__xludf.DUMMYFUNCTION("IMPORTRANGE(""https://docs.google.com/spreadsheets/d/1Yj_ptqi66GCucihVvJfMjLAmec39IyEx_6qawtMGysU/edit?usp=sharing"",""สบก!BG21"")"),116500)</f>
        <v>116500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IFERROR(__xludf.DUMMYFUNCTION("IMPORTRANGE(""https://docs.google.com/spreadsheets/d/1Yj_ptqi66GCucihVvJfMjLAmec39IyEx_6qawtMGysU/edit?usp=sharing"",""สบก!BH21"")"),0)</f>
        <v>0</v>
      </c>
      <c r="M148" s="103"/>
      <c r="N148" s="93">
        <f ca="1">IFERROR(__xludf.DUMMYFUNCTION("IMPORTRANGE(""https://docs.google.com/spreadsheets/d/1Yj_ptqi66GCucihVvJfMjLAmec39IyEx_6qawtMGysU/edit?usp=sharing"",""สบก!BL21"")"),0)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IFERROR(__xludf.DUMMYFUNCTION("IMPORTRANGE(""https://docs.google.com/spreadsheets/d/11923uPwbBZFjjGgGUA6NLw09EwE0CqkOc4q9oUmW1yo/edit?usp=sharing"",""เชียงราย!I74"")"),4)</f>
        <v>4</v>
      </c>
      <c r="J149" s="284">
        <f ca="1">IFERROR(__xludf.DUMMYFUNCTION("IMPORTRANGE(""https://docs.google.com/spreadsheets/d/11923uPwbBZFjjGgGUA6NLw09EwE0CqkOc4q9oUmW1yo/edit?usp=sharing"",""เชียงราย!J74"")"),1)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IFERROR(__xludf.DUMMYFUNCTION("IMPORTRANGE(""https://docs.google.com/spreadsheets/d/11923uPwbBZFjjGgGUA6NLw09EwE0CqkOc4q9oUmW1yo/edit?usp=sharing"",""เชียงราย!J79"")"),0)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IFERROR(__xludf.DUMMYFUNCTION("IMPORTRANGE(""https://docs.google.com/spreadsheets/d/11923uPwbBZFjjGgGUA6NLw09EwE0CqkOc4q9oUmW1yo/edit?usp=sharing"",""เชียงราย!J80"")"),1)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IFERROR(__xludf.DUMMYFUNCTION("IMPORTRANGE(""https://docs.google.com/spreadsheets/d/11923uPwbBZFjjGgGUA6NLw09EwE0CqkOc4q9oUmW1yo/edit?usp=sharing"",""เชียงราย!J81"")"),1)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IFERROR(__xludf.DUMMYFUNCTION("IMPORTRANGE(""https://docs.google.com/spreadsheets/d/11923uPwbBZFjjGgGUA6NLw09EwE0CqkOc4q9oUmW1yo/edit?usp=sharing"",""เชียงราย!J82"")"),1)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IFERROR(__xludf.DUMMYFUNCTION("IMPORTRANGE(""https://docs.google.com/spreadsheets/d/11923uPwbBZFjjGgGUA6NLw09EwE0CqkOc4q9oUmW1yo/edit?usp=sharing"",""เชียงราย!I83"")"),4)</f>
        <v>4</v>
      </c>
      <c r="J158" s="198">
        <f ca="1">IFERROR(__xludf.DUMMYFUNCTION("IMPORTRANGE(""https://docs.google.com/spreadsheets/d/11923uPwbBZFjjGgGUA6NLw09EwE0CqkOc4q9oUmW1yo/edit?usp=sharing"",""เชียงราย!J83"")"),1)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IFERROR(__xludf.DUMMYFUNCTION("IMPORTRANGE(""https://docs.google.com/spreadsheets/d/11923uPwbBZFjjGgGUA6NLw09EwE0CqkOc4q9oUmW1yo/edit?usp=sharing"",""เชียงราย!J84"")"),15)</f>
        <v>15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IFERROR(__xludf.DUMMYFUNCTION("IMPORTRANGE(""https://docs.google.com/spreadsheets/d/11923uPwbBZFjjGgGUA6NLw09EwE0CqkOc4q9oUmW1yo/edit?usp=sharing"",""เชียงราย!J85"")"),13)</f>
        <v>13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IFERROR(__xludf.DUMMYFUNCTION("IMPORTRANGE(""https://docs.google.com/spreadsheets/d/11923uPwbBZFjjGgGUA6NLw09EwE0CqkOc4q9oUmW1yo/edit?usp=sharing"",""เชียงราย!J86"")"),2)</f>
        <v>2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IFERROR(__xludf.DUMMYFUNCTION("IMPORTRANGE(""https://docs.google.com/spreadsheets/d/11923uPwbBZFjjGgGUA6NLw09EwE0CqkOc4q9oUmW1yo/edit?usp=sharing"",""เชียงราย!J87"")"),0)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IFERROR(__xludf.DUMMYFUNCTION("IMPORTRANGE(""https://docs.google.com/spreadsheets/d/11923uPwbBZFjjGgGUA6NLw09EwE0CqkOc4q9oUmW1yo/edit?usp=sharing"",""เชียงราย!J88"")"),0)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IFERROR(__xludf.DUMMYFUNCTION("IMPORTRANGE(""https://docs.google.com/spreadsheets/d/11923uPwbBZFjjGgGUA6NLw09EwE0CqkOc4q9oUmW1yo/edit?usp=sharing"",""เชียงราย!I89"")"),5)</f>
        <v>5</v>
      </c>
      <c r="J164" s="292">
        <f ca="1">IFERROR(__xludf.DUMMYFUNCTION("IMPORTRANGE(""https://docs.google.com/spreadsheets/d/11923uPwbBZFjjGgGUA6NLw09EwE0CqkOc4q9oUmW1yo/edit?usp=sharing"",""เชียงราย!J89"")"),0)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IFERROR(__xludf.DUMMYFUNCTION("IMPORTRANGE(""https://docs.google.com/spreadsheets/d/11923uPwbBZFjjGgGUA6NLw09EwE0CqkOc4q9oUmW1yo/edit?usp=sharing"",""เชียงราย!J94"")"),0)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IFERROR(__xludf.DUMMYFUNCTION("IMPORTRANGE(""https://docs.google.com/spreadsheets/d/11923uPwbBZFjjGgGUA6NLw09EwE0CqkOc4q9oUmW1yo/edit?usp=sharing"",""เชียงราย!J95"")"),1)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IFERROR(__xludf.DUMMYFUNCTION("IMPORTRANGE(""https://docs.google.com/spreadsheets/d/11923uPwbBZFjjGgGUA6NLw09EwE0CqkOc4q9oUmW1yo/edit?usp=sharing"",""เชียงราย!J96"")"),1)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IFERROR(__xludf.DUMMYFUNCTION("IMPORTRANGE(""https://docs.google.com/spreadsheets/d/11923uPwbBZFjjGgGUA6NLw09EwE0CqkOc4q9oUmW1yo/edit?usp=sharing"",""เชียงราย!J97"")"),0)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IFERROR(__xludf.DUMMYFUNCTION("IMPORTRANGE(""https://docs.google.com/spreadsheets/d/11923uPwbBZFjjGgGUA6NLw09EwE0CqkOc4q9oUmW1yo/edit?usp=sharing"",""เชียงราย!I98"")"),5)</f>
        <v>5</v>
      </c>
      <c r="J173" s="198">
        <f ca="1">IFERROR(__xludf.DUMMYFUNCTION("IMPORTRANGE(""https://docs.google.com/spreadsheets/d/11923uPwbBZFjjGgGUA6NLw09EwE0CqkOc4q9oUmW1yo/edit?usp=sharing"",""เชียงราย!J98"")"),0)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IFERROR(__xludf.DUMMYFUNCTION("IMPORTRANGE(""https://docs.google.com/spreadsheets/d/11923uPwbBZFjjGgGUA6NLw09EwE0CqkOc4q9oUmW1yo/edit?usp=sharing"",""เชียงราย!J99"")"),0)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IFERROR(__xludf.DUMMYFUNCTION("IMPORTRANGE(""https://docs.google.com/spreadsheets/d/11923uPwbBZFjjGgGUA6NLw09EwE0CqkOc4q9oUmW1yo/edit?usp=sharing"",""เชียงราย!J100"")"),0)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IFERROR(__xludf.DUMMYFUNCTION("IMPORTRANGE(""https://docs.google.com/spreadsheets/d/11923uPwbBZFjjGgGUA6NLw09EwE0CqkOc4q9oUmW1yo/edit?usp=sharing"",""เชียงราย!I101"")"),0)</f>
        <v>0</v>
      </c>
      <c r="J176" s="292">
        <f ca="1">IFERROR(__xludf.DUMMYFUNCTION("IMPORTRANGE(""https://docs.google.com/spreadsheets/d/11923uPwbBZFjjGgGUA6NLw09EwE0CqkOc4q9oUmW1yo/edit?usp=sharing"",""เชียงราย!J101"")"),0)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IFERROR(__xludf.DUMMYFUNCTION("IMPORTRANGE(""https://docs.google.com/spreadsheets/d/11923uPwbBZFjjGgGUA6NLw09EwE0CqkOc4q9oUmW1yo/edit?usp=sharing"",""เชียงราย!J106"")"),0)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IFERROR(__xludf.DUMMYFUNCTION("IMPORTRANGE(""https://docs.google.com/spreadsheets/d/11923uPwbBZFjjGgGUA6NLw09EwE0CqkOc4q9oUmW1yo/edit?usp=sharing"",""เชียงราย!J107"")"),0)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IFERROR(__xludf.DUMMYFUNCTION("IMPORTRANGE(""https://docs.google.com/spreadsheets/d/11923uPwbBZFjjGgGUA6NLw09EwE0CqkOc4q9oUmW1yo/edit?usp=sharing"",""เชียงราย!J108"")"),0)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IFERROR(__xludf.DUMMYFUNCTION("IMPORTRANGE(""https://docs.google.com/spreadsheets/d/11923uPwbBZFjjGgGUA6NLw09EwE0CqkOc4q9oUmW1yo/edit?usp=sharing"",""เชียงราย!J109"")"),0)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IFERROR(__xludf.DUMMYFUNCTION("IMPORTRANGE(""https://docs.google.com/spreadsheets/d/11923uPwbBZFjjGgGUA6NLw09EwE0CqkOc4q9oUmW1yo/edit?usp=sharing"",""เชียงราย!I110"")"),0)</f>
        <v>0</v>
      </c>
      <c r="J185" s="213">
        <f ca="1">IFERROR(__xludf.DUMMYFUNCTION("IMPORTRANGE(""https://docs.google.com/spreadsheets/d/11923uPwbBZFjjGgGUA6NLw09EwE0CqkOc4q9oUmW1yo/edit?usp=sharing"",""เชียงราย!J110"")"),0)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IFERROR(__xludf.DUMMYFUNCTION("IMPORTRANGE(""https://docs.google.com/spreadsheets/d/11923uPwbBZFjjGgGUA6NLw09EwE0CqkOc4q9oUmW1yo/edit?usp=sharing"",""เชียงราย!I111"")"),0)</f>
        <v>0</v>
      </c>
      <c r="J186" s="213">
        <f ca="1">IFERROR(__xludf.DUMMYFUNCTION("IMPORTRANGE(""https://docs.google.com/spreadsheets/d/11923uPwbBZFjjGgGUA6NLw09EwE0CqkOc4q9oUmW1yo/edit?usp=sharing"",""เชียงราย!J111"")"),0)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IFERROR(__xludf.DUMMYFUNCTION("IMPORTRANGE(""https://docs.google.com/spreadsheets/d/11923uPwbBZFjjGgGUA6NLw09EwE0CqkOc4q9oUmW1yo/edit?usp=sharing"",""เชียงราย!J112"")"),0)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IFERROR(__xludf.DUMMYFUNCTION("IMPORTRANGE(""https://docs.google.com/spreadsheets/d/11923uPwbBZFjjGgGUA6NLw09EwE0CqkOc4q9oUmW1yo/edit?usp=sharing"",""เชียงราย!J113"")"),0)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IFERROR(__xludf.DUMMYFUNCTION("IMPORTRANGE(""https://docs.google.com/spreadsheets/d/11923uPwbBZFjjGgGUA6NLw09EwE0CqkOc4q9oUmW1yo/edit?usp=sharing"",""เชียงราย!I114"")"),60000)</f>
        <v>60000</v>
      </c>
      <c r="J189" s="292">
        <f ca="1">IFERROR(__xludf.DUMMYFUNCTION("IMPORTRANGE(""https://docs.google.com/spreadsheets/d/11923uPwbBZFjjGgGUA6NLw09EwE0CqkOc4q9oUmW1yo/edit?usp=sharing"",""เชียงราย!J114"")"),0)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IFERROR(__xludf.DUMMYFUNCTION("IMPORTRANGE(""https://docs.google.com/spreadsheets/d/11923uPwbBZFjjGgGUA6NLw09EwE0CqkOc4q9oUmW1yo/edit?usp=sharing"",""เชียงราย!J119"")"),0)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IFERROR(__xludf.DUMMYFUNCTION("IMPORTRANGE(""https://docs.google.com/spreadsheets/d/11923uPwbBZFjjGgGUA6NLw09EwE0CqkOc4q9oUmW1yo/edit?usp=sharing"",""เชียงราย!J120"")"),1)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IFERROR(__xludf.DUMMYFUNCTION("IMPORTRANGE(""https://docs.google.com/spreadsheets/d/11923uPwbBZFjjGgGUA6NLw09EwE0CqkOc4q9oUmW1yo/edit?usp=sharing"",""เชียงราย!J121"")"),1)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IFERROR(__xludf.DUMMYFUNCTION("IMPORTRANGE(""https://docs.google.com/spreadsheets/d/11923uPwbBZFjjGgGUA6NLw09EwE0CqkOc4q9oUmW1yo/edit?usp=sharing"",""เชียงราย!J122"")"),0)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IFERROR(__xludf.DUMMYFUNCTION("IMPORTRANGE(""https://docs.google.com/spreadsheets/d/11923uPwbBZFjjGgGUA6NLw09EwE0CqkOc4q9oUmW1yo/edit?usp=sharing"",""เชียงราย!I124"")"),60000)</f>
        <v>60000</v>
      </c>
      <c r="J199" s="198">
        <f ca="1">IFERROR(__xludf.DUMMYFUNCTION("IMPORTRANGE(""https://docs.google.com/spreadsheets/d/11923uPwbBZFjjGgGUA6NLw09EwE0CqkOc4q9oUmW1yo/edit?usp=sharing"",""เชียงราย!J124"")"),0)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IFERROR(__xludf.DUMMYFUNCTION("IMPORTRANGE(""https://docs.google.com/spreadsheets/d/11923uPwbBZFjjGgGUA6NLw09EwE0CqkOc4q9oUmW1yo/edit?usp=sharing"",""เชียงราย!I125"")"),60000)</f>
        <v>60000</v>
      </c>
      <c r="J200" s="198">
        <f ca="1">IFERROR(__xludf.DUMMYFUNCTION("IMPORTRANGE(""https://docs.google.com/spreadsheets/d/11923uPwbBZFjjGgGUA6NLw09EwE0CqkOc4q9oUmW1yo/edit?usp=sharing"",""เชียงราย!J125"")"),0)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IFERROR(__xludf.DUMMYFUNCTION("IMPORTRANGE(""https://docs.google.com/spreadsheets/d/11923uPwbBZFjjGgGUA6NLw09EwE0CqkOc4q9oUmW1yo/edit?usp=sharing"",""เชียงราย!I126"")"),15)</f>
        <v>15</v>
      </c>
      <c r="J201" s="198">
        <f ca="1">IFERROR(__xludf.DUMMYFUNCTION("IMPORTRANGE(""https://docs.google.com/spreadsheets/d/11923uPwbBZFjjGgGUA6NLw09EwE0CqkOc4q9oUmW1yo/edit?usp=sharing"",""เชียงราย!J126"")"),15)</f>
        <v>15</v>
      </c>
      <c r="K201" s="171">
        <f t="shared" ca="1" si="70"/>
        <v>100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IFERROR(__xludf.DUMMYFUNCTION("IMPORTRANGE(""https://docs.google.com/spreadsheets/d/11923uPwbBZFjjGgGUA6NLw09EwE0CqkOc4q9oUmW1yo/edit?usp=sharing"",""เชียงราย!J127"")"),0)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IFERROR(__xludf.DUMMYFUNCTION("IMPORTRANGE(""https://docs.google.com/spreadsheets/d/11923uPwbBZFjjGgGUA6NLw09EwE0CqkOc4q9oUmW1yo/edit?usp=sharing"",""เชียงราย!J128"")"),0)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IFERROR(__xludf.DUMMYFUNCTION("IMPORTRANGE(""https://docs.google.com/spreadsheets/d/11923uPwbBZFjjGgGUA6NLw09EwE0CqkOc4q9oUmW1yo/edit?usp=sharing"",""เชียงราย!I129"")"),0)</f>
        <v>0</v>
      </c>
      <c r="J204" s="292">
        <f ca="1">IFERROR(__xludf.DUMMYFUNCTION("IMPORTRANGE(""https://docs.google.com/spreadsheets/d/11923uPwbBZFjjGgGUA6NLw09EwE0CqkOc4q9oUmW1yo/edit?usp=sharing"",""เชียงราย!J129"")"),0)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IFERROR(__xludf.DUMMYFUNCTION("IMPORTRANGE(""https://docs.google.com/spreadsheets/d/11923uPwbBZFjjGgGUA6NLw09EwE0CqkOc4q9oUmW1yo/edit?usp=sharing"",""เชียงราย!J134"")"),0)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IFERROR(__xludf.DUMMYFUNCTION("IMPORTRANGE(""https://docs.google.com/spreadsheets/d/11923uPwbBZFjjGgGUA6NLw09EwE0CqkOc4q9oUmW1yo/edit?usp=sharing"",""เชียงราย!J135"")"),0)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IFERROR(__xludf.DUMMYFUNCTION("IMPORTRANGE(""https://docs.google.com/spreadsheets/d/11923uPwbBZFjjGgGUA6NLw09EwE0CqkOc4q9oUmW1yo/edit?usp=sharing"",""เชียงราย!J136"")"),0)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IFERROR(__xludf.DUMMYFUNCTION("IMPORTRANGE(""https://docs.google.com/spreadsheets/d/11923uPwbBZFjjGgGUA6NLw09EwE0CqkOc4q9oUmW1yo/edit?usp=sharing"",""เชียงราย!J137"")"),0)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IFERROR(__xludf.DUMMYFUNCTION("IMPORTRANGE(""https://docs.google.com/spreadsheets/d/11923uPwbBZFjjGgGUA6NLw09EwE0CqkOc4q9oUmW1yo/edit?usp=sharing"",""เชียงราย!I138"")"),0)</f>
        <v>0</v>
      </c>
      <c r="J213" s="213">
        <f ca="1">IFERROR(__xludf.DUMMYFUNCTION("IMPORTRANGE(""https://docs.google.com/spreadsheets/d/11923uPwbBZFjjGgGUA6NLw09EwE0CqkOc4q9oUmW1yo/edit?usp=sharing"",""เชียงราย!J138"")"),0)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IFERROR(__xludf.DUMMYFUNCTION("IMPORTRANGE(""https://docs.google.com/spreadsheets/d/11923uPwbBZFjjGgGUA6NLw09EwE0CqkOc4q9oUmW1yo/edit?usp=sharing"",""เชียงราย!I140"")"),0)</f>
        <v>0</v>
      </c>
      <c r="J215" s="213">
        <f ca="1">IFERROR(__xludf.DUMMYFUNCTION("IMPORTRANGE(""https://docs.google.com/spreadsheets/d/11923uPwbBZFjjGgGUA6NLw09EwE0CqkOc4q9oUmW1yo/edit?usp=sharing"",""เชียงราย!J140"")"),0)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IFERROR(__xludf.DUMMYFUNCTION("IMPORTRANGE(""https://docs.google.com/spreadsheets/d/11923uPwbBZFjjGgGUA6NLw09EwE0CqkOc4q9oUmW1yo/edit?usp=sharing"",""เชียงราย!I141"")"),0)</f>
        <v>0</v>
      </c>
      <c r="J216" s="213">
        <f ca="1">IFERROR(__xludf.DUMMYFUNCTION("IMPORTRANGE(""https://docs.google.com/spreadsheets/d/11923uPwbBZFjjGgGUA6NLw09EwE0CqkOc4q9oUmW1yo/edit?usp=sharing"",""เชียงราย!J141"")"),0)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IFERROR(__xludf.DUMMYFUNCTION("IMPORTRANGE(""https://docs.google.com/spreadsheets/d/11923uPwbBZFjjGgGUA6NLw09EwE0CqkOc4q9oUmW1yo/edit?usp=sharing"",""เชียงราย!J142"")"),0)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IFERROR(__xludf.DUMMYFUNCTION("IMPORTRANGE(""https://docs.google.com/spreadsheets/d/11923uPwbBZFjjGgGUA6NLw09EwE0CqkOc4q9oUmW1yo/edit?usp=sharing"",""เชียงราย!J143"")"),0)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IFERROR(__xludf.DUMMYFUNCTION("IMPORTRANGE(""https://docs.google.com/spreadsheets/d/11923uPwbBZFjjGgGUA6NLw09EwE0CqkOc4q9oUmW1yo/edit?usp=sharing"",""เชียงราย!I144"")"),14)</f>
        <v>14</v>
      </c>
      <c r="J219" s="276">
        <f ca="1">IFERROR(__xludf.DUMMYFUNCTION("IMPORTRANGE(""https://docs.google.com/spreadsheets/d/11923uPwbBZFjjGgGUA6NLw09EwE0CqkOc4q9oUmW1yo/edit?usp=sharing"",""เชียงราย!J144"")"),14)</f>
        <v>14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20210</v>
      </c>
      <c r="M220" s="158">
        <f t="shared" ca="1" si="72"/>
        <v>20210</v>
      </c>
      <c r="N220" s="158">
        <f t="shared" ca="1" si="72"/>
        <v>19940</v>
      </c>
      <c r="O220" s="157">
        <f t="shared" ref="O220:O222" ca="1" si="73">IF(L220&gt;0,N220*100/L220,0)</f>
        <v>98.66402770905492</v>
      </c>
      <c r="P220" s="157">
        <f t="shared" ref="P220:P222" ca="1" si="74">IF(M220&gt;0,N220*100/M220,0)</f>
        <v>98.66402770905492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20210</v>
      </c>
      <c r="M222" s="163">
        <f t="shared" ca="1" si="76"/>
        <v>20210</v>
      </c>
      <c r="N222" s="163">
        <f t="shared" ca="1" si="76"/>
        <v>19940</v>
      </c>
      <c r="O222" s="162">
        <f t="shared" ca="1" si="73"/>
        <v>98.66402770905492</v>
      </c>
      <c r="P222" s="162">
        <f t="shared" ca="1" si="74"/>
        <v>98.66402770905492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20210</v>
      </c>
      <c r="M224" s="176">
        <f ca="1">IFERROR(__xludf.DUMMYFUNCTION("IMPORTRANGE(""https://docs.google.com/spreadsheets/d/1Yj_ptqi66GCucihVvJfMjLAmec39IyEx_6qawtMGysU/edit?usp=sharing"",""สบก!BS21"")"),20210)</f>
        <v>20210</v>
      </c>
      <c r="N224" s="177">
        <f ca="1">IFERROR(__xludf.DUMMYFUNCTION("IMPORTRANGE(""https://docs.google.com/spreadsheets/d/1Yj_ptqi66GCucihVvJfMjLAmec39IyEx_6qawtMGysU/edit?usp=sharing"",""สบก!BT21"")"),19940)</f>
        <v>19940</v>
      </c>
      <c r="O224" s="178">
        <f ca="1">IF(L224&gt;0,N224*100/L224,0)</f>
        <v>98.66402770905492</v>
      </c>
      <c r="P224" s="178">
        <f ca="1">IF(M224&gt;0,N224*100/M224,0)</f>
        <v>98.66402770905492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IFERROR(__xludf.DUMMYFUNCTION("IMPORTRANGE(""https://docs.google.com/spreadsheets/d/1Yj_ptqi66GCucihVvJfMjLAmec39IyEx_6qawtMGysU/edit?usp=sharing"",""สบก!BO21"")"),0)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IFERROR(__xludf.DUMMYFUNCTION("IMPORTRANGE(""https://docs.google.com/spreadsheets/d/1Yj_ptqi66GCucihVvJfMjLAmec39IyEx_6qawtMGysU/edit?usp=sharing"",""สบก!BP21"")"),20210)</f>
        <v>20210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IFERROR(__xludf.DUMMYFUNCTION("IMPORTRANGE(""https://docs.google.com/spreadsheets/d/1Yj_ptqi66GCucihVvJfMjLAmec39IyEx_6qawtMGysU/edit?usp=sharing"",""สบก!BQ21"")"),0)</f>
        <v>0</v>
      </c>
      <c r="M228" s="103"/>
      <c r="N228" s="93">
        <f ca="1">IFERROR(__xludf.DUMMYFUNCTION("IMPORTRANGE(""https://docs.google.com/spreadsheets/d/1Yj_ptqi66GCucihVvJfMjLAmec39IyEx_6qawtMGysU/edit?usp=sharing"",""สบก!BU21"")"),0)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IFERROR(__xludf.DUMMYFUNCTION("IMPORTRANGE(""https://docs.google.com/spreadsheets/d/11923uPwbBZFjjGgGUA6NLw09EwE0CqkOc4q9oUmW1yo/edit?usp=sharing"",""เชียงราย!I149"")"),14)</f>
        <v>14</v>
      </c>
      <c r="J229" s="276">
        <f ca="1">IFERROR(__xludf.DUMMYFUNCTION("IMPORTRANGE(""https://docs.google.com/spreadsheets/d/11923uPwbBZFjjGgGUA6NLw09EwE0CqkOc4q9oUmW1yo/edit?usp=sharing"",""เชียงราย!J149"")"),14)</f>
        <v>14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IFERROR(__xludf.DUMMYFUNCTION("IMPORTRANGE(""https://docs.google.com/spreadsheets/d/11923uPwbBZFjjGgGUA6NLw09EwE0CqkOc4q9oUmW1yo/edit?usp=sharing"",""เชียงราย!J151"")"),0)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IFERROR(__xludf.DUMMYFUNCTION("IMPORTRANGE(""https://docs.google.com/spreadsheets/d/11923uPwbBZFjjGgGUA6NLw09EwE0CqkOc4q9oUmW1yo/edit?usp=sharing"",""เชียงราย!J152"")"),1)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IFERROR(__xludf.DUMMYFUNCTION("IMPORTRANGE(""https://docs.google.com/spreadsheets/d/11923uPwbBZFjjGgGUA6NLw09EwE0CqkOc4q9oUmW1yo/edit?usp=sharing"",""เชียงราย!J153"")"),1)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IFERROR(__xludf.DUMMYFUNCTION("IMPORTRANGE(""https://docs.google.com/spreadsheets/d/11923uPwbBZFjjGgGUA6NLw09EwE0CqkOc4q9oUmW1yo/edit?usp=sharing"",""เชียงราย!J154"")"),1)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IFERROR(__xludf.DUMMYFUNCTION("IMPORTRANGE(""https://docs.google.com/spreadsheets/d/11923uPwbBZFjjGgGUA6NLw09EwE0CqkOc4q9oUmW1yo/edit?usp=sharing"",""เชียงราย!I155"")"),14)</f>
        <v>14</v>
      </c>
      <c r="J235" s="198">
        <f ca="1">IFERROR(__xludf.DUMMYFUNCTION("IMPORTRANGE(""https://docs.google.com/spreadsheets/d/11923uPwbBZFjjGgGUA6NLw09EwE0CqkOc4q9oUmW1yo/edit?usp=sharing"",""เชียงราย!J155"")"),14)</f>
        <v>14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IFERROR(__xludf.DUMMYFUNCTION("IMPORTRANGE(""https://docs.google.com/spreadsheets/d/11923uPwbBZFjjGgGUA6NLw09EwE0CqkOc4q9oUmW1yo/edit?usp=sharing"",""เชียงราย!J156"")"),0)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IFERROR(__xludf.DUMMYFUNCTION("IMPORTRANGE(""https://docs.google.com/spreadsheets/d/11923uPwbBZFjjGgGUA6NLw09EwE0CqkOc4q9oUmW1yo/edit?usp=sharing"",""เชียงราย!J157"")"),0)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IFERROR(__xludf.DUMMYFUNCTION("IMPORTRANGE(""https://docs.google.com/spreadsheets/d/11923uPwbBZFjjGgGUA6NLw09EwE0CqkOc4q9oUmW1yo/edit?usp=sharing"",""เชียงราย!I158"")"),0)</f>
        <v>0</v>
      </c>
      <c r="J238" s="276">
        <f ca="1">IFERROR(__xludf.DUMMYFUNCTION("IMPORTRANGE(""https://docs.google.com/spreadsheets/d/11923uPwbBZFjjGgGUA6NLw09EwE0CqkOc4q9oUmW1yo/edit?usp=sharing"",""เชียงราย!J158"")"),0)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IFERROR(__xludf.DUMMYFUNCTION("IMPORTRANGE(""https://docs.google.com/spreadsheets/d/11923uPwbBZFjjGgGUA6NLw09EwE0CqkOc4q9oUmW1yo/edit?usp=sharing"",""เชียงราย!J159"")"),"")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IFERROR(__xludf.DUMMYFUNCTION("IMPORTRANGE(""https://docs.google.com/spreadsheets/d/11923uPwbBZFjjGgGUA6NLw09EwE0CqkOc4q9oUmW1yo/edit?usp=sharing"",""เชียงราย!J161"")"),0)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IFERROR(__xludf.DUMMYFUNCTION("IMPORTRANGE(""https://docs.google.com/spreadsheets/d/11923uPwbBZFjjGgGUA6NLw09EwE0CqkOc4q9oUmW1yo/edit?usp=sharing"",""เชียงราย!J162"")"),0)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IFERROR(__xludf.DUMMYFUNCTION("IMPORTRANGE(""https://docs.google.com/spreadsheets/d/11923uPwbBZFjjGgGUA6NLw09EwE0CqkOc4q9oUmW1yo/edit?usp=sharing"",""เชียงราย!J163"")"),0)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IFERROR(__xludf.DUMMYFUNCTION("IMPORTRANGE(""https://docs.google.com/spreadsheets/d/11923uPwbBZFjjGgGUA6NLw09EwE0CqkOc4q9oUmW1yo/edit?usp=sharing"",""เชียงราย!I164"")"),0)</f>
        <v>0</v>
      </c>
      <c r="J244" s="197">
        <f ca="1">IFERROR(__xludf.DUMMYFUNCTION("IMPORTRANGE(""https://docs.google.com/spreadsheets/d/11923uPwbBZFjjGgGUA6NLw09EwE0CqkOc4q9oUmW1yo/edit?usp=sharing"",""เชียงราย!J164"")"),0)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IFERROR(__xludf.DUMMYFUNCTION("IMPORTRANGE(""https://docs.google.com/spreadsheets/d/11923uPwbBZFjjGgGUA6NLw09EwE0CqkOc4q9oUmW1yo/edit?usp=sharing"",""เชียงราย!J165"")"),0)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IFERROR(__xludf.DUMMYFUNCTION("IMPORTRANGE(""https://docs.google.com/spreadsheets/d/11923uPwbBZFjjGgGUA6NLw09EwE0CqkOc4q9oUmW1yo/edit?usp=sharing"",""เชียงราย!J166"")"),0)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IFERROR(__xludf.DUMMYFUNCTION("IMPORTRANGE(""https://docs.google.com/spreadsheets/d/11923uPwbBZFjjGgGUA6NLw09EwE0CqkOc4q9oUmW1yo/edit?usp=sharing"",""เชียงราย!I169"")"),20)</f>
        <v>20</v>
      </c>
      <c r="J249" s="324">
        <f ca="1">IFERROR(__xludf.DUMMYFUNCTION("IMPORTRANGE(""https://docs.google.com/spreadsheets/d/11923uPwbBZFjjGgGUA6NLw09EwE0CqkOc4q9oUmW1yo/edit?usp=sharing"",""เชียงราย!J169"")"),0)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71400</v>
      </c>
      <c r="M250" s="158">
        <f t="shared" ca="1" si="77"/>
        <v>37000</v>
      </c>
      <c r="N250" s="158">
        <f t="shared" ca="1" si="77"/>
        <v>29170</v>
      </c>
      <c r="O250" s="157">
        <f t="shared" ref="O250:O252" ca="1" si="78">IF(L250&gt;0,N250*100/L250,0)</f>
        <v>40.854341736694678</v>
      </c>
      <c r="P250" s="157">
        <f t="shared" ref="P250:P252" ca="1" si="79">IF(M250&gt;0,N250*100/M250,0)</f>
        <v>78.837837837837839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71400</v>
      </c>
      <c r="M252" s="163">
        <f t="shared" ca="1" si="81"/>
        <v>37000</v>
      </c>
      <c r="N252" s="163">
        <f t="shared" ca="1" si="81"/>
        <v>29170</v>
      </c>
      <c r="O252" s="162">
        <f t="shared" ca="1" si="78"/>
        <v>40.854341736694678</v>
      </c>
      <c r="P252" s="162">
        <f t="shared" ca="1" si="79"/>
        <v>78.837837837837839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71400</v>
      </c>
      <c r="M254" s="176">
        <f ca="1">IFERROR(__xludf.DUMMYFUNCTION("IMPORTRANGE(""https://docs.google.com/spreadsheets/d/1Yj_ptqi66GCucihVvJfMjLAmec39IyEx_6qawtMGysU/edit?usp=sharing"",""สบก!CB21"")"),37000)</f>
        <v>37000</v>
      </c>
      <c r="N254" s="177">
        <f ca="1">IFERROR(__xludf.DUMMYFUNCTION("IMPORTRANGE(""https://docs.google.com/spreadsheets/d/1Yj_ptqi66GCucihVvJfMjLAmec39IyEx_6qawtMGysU/edit?usp=sharing"",""สบก!CC21"")"),29170)</f>
        <v>29170</v>
      </c>
      <c r="O254" s="178">
        <f ca="1">IF(L254&gt;0,N254*100/L254,0)</f>
        <v>40.854341736694678</v>
      </c>
      <c r="P254" s="178">
        <f ca="1">IF(M254&gt;0,N254*100/M254,0)</f>
        <v>78.837837837837839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IFERROR(__xludf.DUMMYFUNCTION("IMPORTRANGE(""https://docs.google.com/spreadsheets/d/1Yj_ptqi66GCucihVvJfMjLAmec39IyEx_6qawtMGysU/edit?usp=sharing"",""สบก!BX21"")"),0)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IFERROR(__xludf.DUMMYFUNCTION("IMPORTRANGE(""https://docs.google.com/spreadsheets/d/1Yj_ptqi66GCucihVvJfMjLAmec39IyEx_6qawtMGysU/edit?usp=sharing"",""สบก!BY21"")"),71400)</f>
        <v>71400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IFERROR(__xludf.DUMMYFUNCTION("IMPORTRANGE(""https://docs.google.com/spreadsheets/d/1Yj_ptqi66GCucihVvJfMjLAmec39IyEx_6qawtMGysU/edit?usp=sharing"",""สบก!BZ21"")"),0)</f>
        <v>0</v>
      </c>
      <c r="M258" s="103"/>
      <c r="N258" s="93">
        <f ca="1">IFERROR(__xludf.DUMMYFUNCTION("IMPORTRANGE(""https://docs.google.com/spreadsheets/d/1Yj_ptqi66GCucihVvJfMjLAmec39IyEx_6qawtMGysU/edit?usp=sharing"",""สบก!CD21"")"),0)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IFERROR(__xludf.DUMMYFUNCTION("IMPORTRANGE(""https://docs.google.com/spreadsheets/d/11923uPwbBZFjjGgGUA6NLw09EwE0CqkOc4q9oUmW1yo/edit?usp=sharing"",""เชียงราย!J175"")"),0)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IFERROR(__xludf.DUMMYFUNCTION("IMPORTRANGE(""https://docs.google.com/spreadsheets/d/11923uPwbBZFjjGgGUA6NLw09EwE0CqkOc4q9oUmW1yo/edit?usp=sharing"",""เชียงราย!J176"")"),1)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IFERROR(__xludf.DUMMYFUNCTION("IMPORTRANGE(""https://docs.google.com/spreadsheets/d/11923uPwbBZFjjGgGUA6NLw09EwE0CqkOc4q9oUmW1yo/edit?usp=sharing"",""เชียงราย!J177"")"),1)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IFERROR(__xludf.DUMMYFUNCTION("IMPORTRANGE(""https://docs.google.com/spreadsheets/d/11923uPwbBZFjjGgGUA6NLw09EwE0CqkOc4q9oUmW1yo/edit?usp=sharing"",""เชียงราย!J178"")"),1)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IFERROR(__xludf.DUMMYFUNCTION("IMPORTRANGE(""https://docs.google.com/spreadsheets/d/11923uPwbBZFjjGgGUA6NLw09EwE0CqkOc4q9oUmW1yo/edit?usp=sharing"",""เชียงราย!I179"")"),1)</f>
        <v>1</v>
      </c>
      <c r="J264" s="198">
        <f ca="1">IFERROR(__xludf.DUMMYFUNCTION("IMPORTRANGE(""https://docs.google.com/spreadsheets/d/11923uPwbBZFjjGgGUA6NLw09EwE0CqkOc4q9oUmW1yo/edit?usp=sharing"",""เชียงราย!J179"")"),1)</f>
        <v>1</v>
      </c>
      <c r="K264" s="171">
        <f t="shared" ref="K264:K267" ca="1" si="82">IF(I264&gt;0,J264*100/I264,0)</f>
        <v>100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IFERROR(__xludf.DUMMYFUNCTION("IMPORTRANGE(""https://docs.google.com/spreadsheets/d/11923uPwbBZFjjGgGUA6NLw09EwE0CqkOc4q9oUmW1yo/edit?usp=sharing"",""เชียงราย!I180"")"),20)</f>
        <v>20</v>
      </c>
      <c r="J265" s="198">
        <f ca="1">IFERROR(__xludf.DUMMYFUNCTION("IMPORTRANGE(""https://docs.google.com/spreadsheets/d/11923uPwbBZFjjGgGUA6NLw09EwE0CqkOc4q9oUmW1yo/edit?usp=sharing"",""เชียงราย!J180"")"),0)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IFERROR(__xludf.DUMMYFUNCTION("IMPORTRANGE(""https://docs.google.com/spreadsheets/d/11923uPwbBZFjjGgGUA6NLw09EwE0CqkOc4q9oUmW1yo/edit?usp=sharing"",""เชียงราย!I181"")"),20)</f>
        <v>20</v>
      </c>
      <c r="J266" s="198">
        <f ca="1">IFERROR(__xludf.DUMMYFUNCTION("IMPORTRANGE(""https://docs.google.com/spreadsheets/d/11923uPwbBZFjjGgGUA6NLw09EwE0CqkOc4q9oUmW1yo/edit?usp=sharing"",""เชียงราย!J181"")"),0)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IFERROR(__xludf.DUMMYFUNCTION("IMPORTRANGE(""https://docs.google.com/spreadsheets/d/11923uPwbBZFjjGgGUA6NLw09EwE0CqkOc4q9oUmW1yo/edit?usp=sharing"",""เชียงราย!I182"")"),1)</f>
        <v>1</v>
      </c>
      <c r="J267" s="198">
        <f ca="1">IFERROR(__xludf.DUMMYFUNCTION("IMPORTRANGE(""https://docs.google.com/spreadsheets/d/11923uPwbBZFjjGgGUA6NLw09EwE0CqkOc4q9oUmW1yo/edit?usp=sharing"",""เชียงราย!J182"")"),0)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IFERROR(__xludf.DUMMYFUNCTION("IMPORTRANGE(""https://docs.google.com/spreadsheets/d/11923uPwbBZFjjGgGUA6NLw09EwE0CqkOc4q9oUmW1yo/edit?usp=sharing"",""เชียงราย!J183"")"),0)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IFERROR(__xludf.DUMMYFUNCTION("IMPORTRANGE(""https://docs.google.com/spreadsheets/d/11923uPwbBZFjjGgGUA6NLw09EwE0CqkOc4q9oUmW1yo/edit?usp=sharing"",""เชียงราย!J184"")"),0)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IFERROR(__xludf.DUMMYFUNCTION("IMPORTRANGE(""https://docs.google.com/spreadsheets/d/11923uPwbBZFjjGgGUA6NLw09EwE0CqkOc4q9oUmW1yo/edit?usp=sharing"",""เชียงราย!I185"")"),15)</f>
        <v>15</v>
      </c>
      <c r="J270" s="324">
        <f ca="1">IFERROR(__xludf.DUMMYFUNCTION("IMPORTRANGE(""https://docs.google.com/spreadsheets/d/11923uPwbBZFjjGgGUA6NLw09EwE0CqkOc4q9oUmW1yo/edit?usp=sharing"",""เชียงราย!J185"")"),15)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105700</v>
      </c>
      <c r="M271" s="158">
        <f t="shared" ca="1" si="83"/>
        <v>80000</v>
      </c>
      <c r="N271" s="158">
        <f t="shared" ca="1" si="83"/>
        <v>44955</v>
      </c>
      <c r="O271" s="157">
        <f t="shared" ref="O271:O273" ca="1" si="84">IF(L271&gt;0,N271*100/L271,0)</f>
        <v>42.530747398297066</v>
      </c>
      <c r="P271" s="157">
        <f t="shared" ref="P271:P273" ca="1" si="85">IF(M271&gt;0,N271*100/M271,0)</f>
        <v>56.193750000000001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105700</v>
      </c>
      <c r="M273" s="163">
        <f t="shared" ca="1" si="87"/>
        <v>80000</v>
      </c>
      <c r="N273" s="163">
        <f t="shared" ca="1" si="87"/>
        <v>44955</v>
      </c>
      <c r="O273" s="162">
        <f t="shared" ca="1" si="84"/>
        <v>42.530747398297066</v>
      </c>
      <c r="P273" s="162">
        <f t="shared" ca="1" si="85"/>
        <v>56.193750000000001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105700</v>
      </c>
      <c r="M275" s="176">
        <f ca="1">IFERROR(__xludf.DUMMYFUNCTION("IMPORTRANGE(""https://docs.google.com/spreadsheets/d/1Yj_ptqi66GCucihVvJfMjLAmec39IyEx_6qawtMGysU/edit?usp=sharing"",""สบก!CK21"")"),80000)</f>
        <v>80000</v>
      </c>
      <c r="N275" s="177">
        <f ca="1">IFERROR(__xludf.DUMMYFUNCTION("IMPORTRANGE(""https://docs.google.com/spreadsheets/d/1Yj_ptqi66GCucihVvJfMjLAmec39IyEx_6qawtMGysU/edit?usp=sharing"",""สบก!CL21"")"),44955)</f>
        <v>44955</v>
      </c>
      <c r="O275" s="178">
        <f ca="1">IF(L275&gt;0,N275*100/L275,0)</f>
        <v>42.530747398297066</v>
      </c>
      <c r="P275" s="178">
        <f ca="1">IF(M275&gt;0,N275*100/M275,0)</f>
        <v>56.193750000000001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IFERROR(__xludf.DUMMYFUNCTION("IMPORTRANGE(""https://docs.google.com/spreadsheets/d/1Yj_ptqi66GCucihVvJfMjLAmec39IyEx_6qawtMGysU/edit?usp=sharing"",""สบก!CG21"")"),0)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IFERROR(__xludf.DUMMYFUNCTION("IMPORTRANGE(""https://docs.google.com/spreadsheets/d/1Yj_ptqi66GCucihVvJfMjLAmec39IyEx_6qawtMGysU/edit?usp=sharing"",""สบก!CH21"")"),105700)</f>
        <v>105700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IFERROR(__xludf.DUMMYFUNCTION("IMPORTRANGE(""https://docs.google.com/spreadsheets/d/1Yj_ptqi66GCucihVvJfMjLAmec39IyEx_6qawtMGysU/edit?usp=sharing"",""สบก!CI21"")"),0)</f>
        <v>0</v>
      </c>
      <c r="M279" s="103"/>
      <c r="N279" s="93">
        <f ca="1">IFERROR(__xludf.DUMMYFUNCTION("IMPORTRANGE(""https://docs.google.com/spreadsheets/d/1Yj_ptqi66GCucihVvJfMjLAmec39IyEx_6qawtMGysU/edit?usp=sharing"",""สบก!CM21"")"),0)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IFERROR(__xludf.DUMMYFUNCTION("IMPORTRANGE(""https://docs.google.com/spreadsheets/d/11923uPwbBZFjjGgGUA6NLw09EwE0CqkOc4q9oUmW1yo/edit?usp=sharing"",""เชียงราย!J191"")"),0)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IFERROR(__xludf.DUMMYFUNCTION("IMPORTRANGE(""https://docs.google.com/spreadsheets/d/11923uPwbBZFjjGgGUA6NLw09EwE0CqkOc4q9oUmW1yo/edit?usp=sharing"",""เชียงราย!J192"")"),1)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IFERROR(__xludf.DUMMYFUNCTION("IMPORTRANGE(""https://docs.google.com/spreadsheets/d/11923uPwbBZFjjGgGUA6NLw09EwE0CqkOc4q9oUmW1yo/edit?usp=sharing"",""เชียงราย!J193"")"),1)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IFERROR(__xludf.DUMMYFUNCTION("IMPORTRANGE(""https://docs.google.com/spreadsheets/d/11923uPwbBZFjjGgGUA6NLw09EwE0CqkOc4q9oUmW1yo/edit?usp=sharing"",""เชียงราย!J194"")"),1)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IFERROR(__xludf.DUMMYFUNCTION("IMPORTRANGE(""https://docs.google.com/spreadsheets/d/11923uPwbBZFjjGgGUA6NLw09EwE0CqkOc4q9oUmW1yo/edit?usp=sharing"",""เชียงราย!I195"")"),15)</f>
        <v>15</v>
      </c>
      <c r="J285" s="198">
        <f ca="1">IFERROR(__xludf.DUMMYFUNCTION("IMPORTRANGE(""https://docs.google.com/spreadsheets/d/11923uPwbBZFjjGgGUA6NLw09EwE0CqkOc4q9oUmW1yo/edit?usp=sharing"",""เชียงราย!J195"")"),15)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IFERROR(__xludf.DUMMYFUNCTION("IMPORTRANGE(""https://docs.google.com/spreadsheets/d/11923uPwbBZFjjGgGUA6NLw09EwE0CqkOc4q9oUmW1yo/edit?usp=sharing"",""เชียงราย!J196"")"),0)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IFERROR(__xludf.DUMMYFUNCTION("IMPORTRANGE(""https://docs.google.com/spreadsheets/d/11923uPwbBZFjjGgGUA6NLw09EwE0CqkOc4q9oUmW1yo/edit?usp=sharing"",""เชียงราย!J197"")"),0)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IFERROR(__xludf.DUMMYFUNCTION("IMPORTRANGE(""https://docs.google.com/spreadsheets/d/11923uPwbBZFjjGgGUA6NLw09EwE0CqkOc4q9oUmW1yo/edit?usp=sharing"",""เชียงราย!I199"")"),0)</f>
        <v>0</v>
      </c>
      <c r="J289" s="324">
        <f ca="1">IFERROR(__xludf.DUMMYFUNCTION("IMPORTRANGE(""https://docs.google.com/spreadsheets/d/11923uPwbBZFjjGgGUA6NLw09EwE0CqkOc4q9oUmW1yo/edit?usp=sharing"",""เชียงราย!J199"")"),0)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IFERROR(__xludf.DUMMYFUNCTION("IMPORTRANGE(""https://docs.google.com/spreadsheets/d/1Yj_ptqi66GCucihVvJfMjLAmec39IyEx_6qawtMGysU/edit?usp=sharing"",""สบก!CT21"")"),0)</f>
        <v>0</v>
      </c>
      <c r="N294" s="177">
        <f ca="1">IFERROR(__xludf.DUMMYFUNCTION("IMPORTRANGE(""https://docs.google.com/spreadsheets/d/1Yj_ptqi66GCucihVvJfMjLAmec39IyEx_6qawtMGysU/edit?usp=sharing"",""สบก!CU21"")"),0)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IFERROR(__xludf.DUMMYFUNCTION("IMPORTRANGE(""https://docs.google.com/spreadsheets/d/1Yj_ptqi66GCucihVvJfMjLAmec39IyEx_6qawtMGysU/edit?usp=sharing"",""สบก!CP21"")"),0)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IFERROR(__xludf.DUMMYFUNCTION("IMPORTRANGE(""https://docs.google.com/spreadsheets/d/1Yj_ptqi66GCucihVvJfMjLAmec39IyEx_6qawtMGysU/edit?usp=sharing"",""สบก!CQ21"")"),0)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IFERROR(__xludf.DUMMYFUNCTION("IMPORTRANGE(""https://docs.google.com/spreadsheets/d/1Yj_ptqi66GCucihVvJfMjLAmec39IyEx_6qawtMGysU/edit?usp=sharing"",""สบก!CR21"")"),0)</f>
        <v>0</v>
      </c>
      <c r="M298" s="103"/>
      <c r="N298" s="93">
        <f ca="1">IFERROR(__xludf.DUMMYFUNCTION("IMPORTRANGE(""https://docs.google.com/spreadsheets/d/1Yj_ptqi66GCucihVvJfMjLAmec39IyEx_6qawtMGysU/edit?usp=sharing"",""สบก!CV21"")"),0)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IFERROR(__xludf.DUMMYFUNCTION("IMPORTRANGE(""https://docs.google.com/spreadsheets/d/11923uPwbBZFjjGgGUA6NLw09EwE0CqkOc4q9oUmW1yo/edit?usp=sharing"",""เชียงราย!J205"")"),0)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IFERROR(__xludf.DUMMYFUNCTION("IMPORTRANGE(""https://docs.google.com/spreadsheets/d/11923uPwbBZFjjGgGUA6NLw09EwE0CqkOc4q9oUmW1yo/edit?usp=sharing"",""เชียงราย!J206"")"),0)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IFERROR(__xludf.DUMMYFUNCTION("IMPORTRANGE(""https://docs.google.com/spreadsheets/d/11923uPwbBZFjjGgGUA6NLw09EwE0CqkOc4q9oUmW1yo/edit?usp=sharing"",""เชียงราย!J207"")"),0)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IFERROR(__xludf.DUMMYFUNCTION("IMPORTRANGE(""https://docs.google.com/spreadsheets/d/11923uPwbBZFjjGgGUA6NLw09EwE0CqkOc4q9oUmW1yo/edit?usp=sharing"",""เชียงราย!J208"")"),0)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IFERROR(__xludf.DUMMYFUNCTION("IMPORTRANGE(""https://docs.google.com/spreadsheets/d/11923uPwbBZFjjGgGUA6NLw09EwE0CqkOc4q9oUmW1yo/edit?usp=sharing"",""เชียงราย!I209"")"),0)</f>
        <v>0</v>
      </c>
      <c r="J304" s="213">
        <f ca="1">IFERROR(__xludf.DUMMYFUNCTION("IMPORTRANGE(""https://docs.google.com/spreadsheets/d/11923uPwbBZFjjGgGUA6NLw09EwE0CqkOc4q9oUmW1yo/edit?usp=sharing"",""เชียงราย!J209"")"),0)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IFERROR(__xludf.DUMMYFUNCTION("IMPORTRANGE(""https://docs.google.com/spreadsheets/d/11923uPwbBZFjjGgGUA6NLw09EwE0CqkOc4q9oUmW1yo/edit?usp=sharing"",""เชียงราย!I211"")"),0)</f>
        <v>0</v>
      </c>
      <c r="J306" s="213">
        <f ca="1">IFERROR(__xludf.DUMMYFUNCTION("IMPORTRANGE(""https://docs.google.com/spreadsheets/d/11923uPwbBZFjjGgGUA6NLw09EwE0CqkOc4q9oUmW1yo/edit?usp=sharing"",""เชียงราย!J211"")"),0)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IFERROR(__xludf.DUMMYFUNCTION("IMPORTRANGE(""https://docs.google.com/spreadsheets/d/11923uPwbBZFjjGgGUA6NLw09EwE0CqkOc4q9oUmW1yo/edit?usp=sharing"",""เชียงราย!J212"")"),0)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IFERROR(__xludf.DUMMYFUNCTION("IMPORTRANGE(""https://docs.google.com/spreadsheets/d/11923uPwbBZFjjGgGUA6NLw09EwE0CqkOc4q9oUmW1yo/edit?usp=sharing"",""เชียงราย!J213"")"),0)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IFERROR(__xludf.DUMMYFUNCTION("IMPORTRANGE(""https://docs.google.com/spreadsheets/d/11923uPwbBZFjjGgGUA6NLw09EwE0CqkOc4q9oUmW1yo/edit?usp=sharing"",""เชียงราย!I214"")"),0)</f>
        <v>0</v>
      </c>
      <c r="J309" s="341">
        <f ca="1">IFERROR(__xludf.DUMMYFUNCTION("IMPORTRANGE(""https://docs.google.com/spreadsheets/d/11923uPwbBZFjjGgGUA6NLw09EwE0CqkOc4q9oUmW1yo/edit?usp=sharing"",""เชียงราย!J214"")"),0)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IFERROR(__xludf.DUMMYFUNCTION("IMPORTRANGE(""https://docs.google.com/spreadsheets/d/1Yj_ptqi66GCucihVvJfMjLAmec39IyEx_6qawtMGysU/edit?usp=sharing"",""สบก!DC21"")"),0)</f>
        <v>0</v>
      </c>
      <c r="N314" s="177">
        <f ca="1">IFERROR(__xludf.DUMMYFUNCTION("IMPORTRANGE(""https://docs.google.com/spreadsheets/d/1Yj_ptqi66GCucihVvJfMjLAmec39IyEx_6qawtMGysU/edit?usp=sharing"",""สบก!DD21"")"),0)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IFERROR(__xludf.DUMMYFUNCTION("IMPORTRANGE(""https://docs.google.com/spreadsheets/d/1Yj_ptqi66GCucihVvJfMjLAmec39IyEx_6qawtMGysU/edit?usp=sharing"",""สบก!CY21"")"),0)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IFERROR(__xludf.DUMMYFUNCTION("IMPORTRANGE(""https://docs.google.com/spreadsheets/d/1Yj_ptqi66GCucihVvJfMjLAmec39IyEx_6qawtMGysU/edit?usp=sharing"",""สบก!CZ21"")"),0)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IFERROR(__xludf.DUMMYFUNCTION("IMPORTRANGE(""https://docs.google.com/spreadsheets/d/1Yj_ptqi66GCucihVvJfMjLAmec39IyEx_6qawtMGysU/edit?usp=sharing"",""สบก!DA21"")"),0)</f>
        <v>0</v>
      </c>
      <c r="M318" s="103"/>
      <c r="N318" s="93">
        <f ca="1">IFERROR(__xludf.DUMMYFUNCTION("IMPORTRANGE(""https://docs.google.com/spreadsheets/d/1Yj_ptqi66GCucihVvJfMjLAmec39IyEx_6qawtMGysU/edit?usp=sharing"",""สบก!DE21"")"),0)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IFERROR(__xludf.DUMMYFUNCTION("IMPORTRANGE(""https://docs.google.com/spreadsheets/d/11923uPwbBZFjjGgGUA6NLw09EwE0CqkOc4q9oUmW1yo/edit?usp=sharing"",""เชียงราย!J220"")"),0)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IFERROR(__xludf.DUMMYFUNCTION("IMPORTRANGE(""https://docs.google.com/spreadsheets/d/11923uPwbBZFjjGgGUA6NLw09EwE0CqkOc4q9oUmW1yo/edit?usp=sharing"",""เชียงราย!J221"")"),0)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IFERROR(__xludf.DUMMYFUNCTION("IMPORTRANGE(""https://docs.google.com/spreadsheets/d/11923uPwbBZFjjGgGUA6NLw09EwE0CqkOc4q9oUmW1yo/edit?usp=sharing"",""เชียงราย!J222"")"),0)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IFERROR(__xludf.DUMMYFUNCTION("IMPORTRANGE(""https://docs.google.com/spreadsheets/d/11923uPwbBZFjjGgGUA6NLw09EwE0CqkOc4q9oUmW1yo/edit?usp=sharing"",""เชียงราย!J223"")"),0)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IFERROR(__xludf.DUMMYFUNCTION("IMPORTRANGE(""https://docs.google.com/spreadsheets/d/11923uPwbBZFjjGgGUA6NLw09EwE0CqkOc4q9oUmW1yo/edit?usp=sharing"",""เชียงราย!I224"")"),0)</f>
        <v>0</v>
      </c>
      <c r="J324" s="213">
        <f ca="1">IFERROR(__xludf.DUMMYFUNCTION("IMPORTRANGE(""https://docs.google.com/spreadsheets/d/11923uPwbBZFjjGgGUA6NLw09EwE0CqkOc4q9oUmW1yo/edit?usp=sharing"",""เชียงราย!J224"")"),0)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IFERROR(__xludf.DUMMYFUNCTION("IMPORTRANGE(""https://docs.google.com/spreadsheets/d/11923uPwbBZFjjGgGUA6NLw09EwE0CqkOc4q9oUmW1yo/edit?usp=sharing"",""เชียงราย!J225"")"),0)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IFERROR(__xludf.DUMMYFUNCTION("IMPORTRANGE(""https://docs.google.com/spreadsheets/d/11923uPwbBZFjjGgGUA6NLw09EwE0CqkOc4q9oUmW1yo/edit?usp=sharing"",""เชียงราย!J226"")"),0)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IFERROR(__xludf.DUMMYFUNCTION("IMPORTRANGE(""https://docs.google.com/spreadsheets/d/11923uPwbBZFjjGgGUA6NLw09EwE0CqkOc4q9oUmW1yo/edit?usp=sharing"",""เชียงราย!I228"")"),680)</f>
        <v>680</v>
      </c>
      <c r="J328" s="347">
        <f ca="1">IFERROR(__xludf.DUMMYFUNCTION("IMPORTRANGE(""https://docs.google.com/spreadsheets/d/11923uPwbBZFjjGgGUA6NLw09EwE0CqkOc4q9oUmW1yo/edit?usp=sharing"",""เชียงราย!J228"")"),48)</f>
        <v>48</v>
      </c>
      <c r="K328" s="325">
        <f ca="1">IF(I328&gt;0,J328*100/I328,0)</f>
        <v>7.0588235294117645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1538870</v>
      </c>
      <c r="M329" s="158">
        <f t="shared" ca="1" si="98"/>
        <v>830640</v>
      </c>
      <c r="N329" s="158">
        <f t="shared" ca="1" si="98"/>
        <v>530653</v>
      </c>
      <c r="O329" s="157">
        <f t="shared" ref="O329:O331" ca="1" si="99">IF(L329&gt;0,N329*100/L329,0)</f>
        <v>34.483289686588208</v>
      </c>
      <c r="P329" s="157">
        <f t="shared" ref="P329:P331" ca="1" si="100">IF(M329&gt;0,N329*100/M329,0)</f>
        <v>63.884835789270923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1538870</v>
      </c>
      <c r="M331" s="163">
        <f t="shared" ca="1" si="102"/>
        <v>830640</v>
      </c>
      <c r="N331" s="163">
        <f t="shared" ca="1" si="102"/>
        <v>530653</v>
      </c>
      <c r="O331" s="162">
        <f t="shared" ca="1" si="99"/>
        <v>34.483289686588208</v>
      </c>
      <c r="P331" s="162">
        <f t="shared" ca="1" si="100"/>
        <v>63.884835789270923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1538870</v>
      </c>
      <c r="M333" s="176">
        <f ca="1">IFERROR(__xludf.DUMMYFUNCTION("IMPORTRANGE(""https://docs.google.com/spreadsheets/d/1Yj_ptqi66GCucihVvJfMjLAmec39IyEx_6qawtMGysU/edit?usp=sharing"",""สบก!DL21"")"),830640)</f>
        <v>830640</v>
      </c>
      <c r="N333" s="177">
        <f ca="1">IFERROR(__xludf.DUMMYFUNCTION("IMPORTRANGE(""https://docs.google.com/spreadsheets/d/1Yj_ptqi66GCucihVvJfMjLAmec39IyEx_6qawtMGysU/edit?usp=sharing"",""สบก!DM21"")"),530653)</f>
        <v>530653</v>
      </c>
      <c r="O333" s="178">
        <f ca="1">IF(L333&gt;0,N333*100/L333,0)</f>
        <v>34.483289686588208</v>
      </c>
      <c r="P333" s="178">
        <f ca="1">IF(M333&gt;0,N333*100/M333,0)</f>
        <v>63.884835789270923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IFERROR(__xludf.DUMMYFUNCTION("IMPORTRANGE(""https://docs.google.com/spreadsheets/d/1Yj_ptqi66GCucihVvJfMjLAmec39IyEx_6qawtMGysU/edit?usp=sharing"",""สบก!DH21"")"),831600)</f>
        <v>831600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IFERROR(__xludf.DUMMYFUNCTION("IMPORTRANGE(""https://docs.google.com/spreadsheets/d/1Yj_ptqi66GCucihVvJfMjLAmec39IyEx_6qawtMGysU/edit?usp=sharing"",""สบก!DI21"")"),707270)</f>
        <v>707270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IFERROR(__xludf.DUMMYFUNCTION("IMPORTRANGE(""https://docs.google.com/spreadsheets/d/1Yj_ptqi66GCucihVvJfMjLAmec39IyEx_6qawtMGysU/edit?usp=sharing"",""สบก!DJ21"")"),0)</f>
        <v>0</v>
      </c>
      <c r="M337" s="103"/>
      <c r="N337" s="93">
        <f ca="1">IFERROR(__xludf.DUMMYFUNCTION("IMPORTRANGE(""https://docs.google.com/spreadsheets/d/1Yj_ptqi66GCucihVvJfMjLAmec39IyEx_6qawtMGysU/edit?usp=sharing"",""สบก!DN21"")"),0)</f>
        <v>0</v>
      </c>
      <c r="O337" s="103">
        <f ca="1">IF(L337&gt;0,N337*100/L337,0)</f>
        <v>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IFERROR(__xludf.DUMMYFUNCTION("IMPORTRANGE(""https://docs.google.com/spreadsheets/d/11923uPwbBZFjjGgGUA6NLw09EwE0CqkOc4q9oUmW1yo/edit?usp=sharing"",""เชียงราย!I234"")"),0)</f>
        <v>0</v>
      </c>
      <c r="J339" s="197">
        <f ca="1">IFERROR(__xludf.DUMMYFUNCTION("IMPORTRANGE(""https://docs.google.com/spreadsheets/d/11923uPwbBZFjjGgGUA6NLw09EwE0CqkOc4q9oUmW1yo/edit?usp=sharing"",""เชียงราย!J234"")"),93)</f>
        <v>93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IFERROR(__xludf.DUMMYFUNCTION("IMPORTRANGE(""https://docs.google.com/spreadsheets/d/11923uPwbBZFjjGgGUA6NLw09EwE0CqkOc4q9oUmW1yo/edit?usp=sharing"",""เชียงราย!I235"")"),3400)</f>
        <v>3400</v>
      </c>
      <c r="J340" s="197">
        <f ca="1">IFERROR(__xludf.DUMMYFUNCTION("IMPORTRANGE(""https://docs.google.com/spreadsheets/d/11923uPwbBZFjjGgGUA6NLw09EwE0CqkOc4q9oUmW1yo/edit?usp=sharing"",""เชียงราย!J235"")"),754.47)</f>
        <v>754.47</v>
      </c>
      <c r="K340" s="350">
        <f t="shared" ca="1" si="103"/>
        <v>22.19029411764706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IFERROR(__xludf.DUMMYFUNCTION("IMPORTRANGE(""https://docs.google.com/spreadsheets/d/11923uPwbBZFjjGgGUA6NLw09EwE0CqkOc4q9oUmW1yo/edit?usp=sharing"",""เชียงราย!I236"")"),680)</f>
        <v>680</v>
      </c>
      <c r="J341" s="197">
        <f ca="1">IFERROR(__xludf.DUMMYFUNCTION("IMPORTRANGE(""https://docs.google.com/spreadsheets/d/11923uPwbBZFjjGgGUA6NLw09EwE0CqkOc4q9oUmW1yo/edit?usp=sharing"",""เชียงราย!J236"")"),117)</f>
        <v>117</v>
      </c>
      <c r="K341" s="350">
        <f t="shared" ca="1" si="103"/>
        <v>17.205882352941178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IFERROR(__xludf.DUMMYFUNCTION("IMPORTRANGE(""https://docs.google.com/spreadsheets/d/11923uPwbBZFjjGgGUA6NLw09EwE0CqkOc4q9oUmW1yo/edit?usp=sharing"",""เชียงราย!I237"")"),0)</f>
        <v>0</v>
      </c>
      <c r="J342" s="197">
        <f ca="1">IFERROR(__xludf.DUMMYFUNCTION("IMPORTRANGE(""https://docs.google.com/spreadsheets/d/11923uPwbBZFjjGgGUA6NLw09EwE0CqkOc4q9oUmW1yo/edit?usp=sharing"",""เชียงราย!J237"")"),963.449999999999)</f>
        <v>963.44999999999902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IFERROR(__xludf.DUMMYFUNCTION("IMPORTRANGE(""https://docs.google.com/spreadsheets/d/11923uPwbBZFjjGgGUA6NLw09EwE0CqkOc4q9oUmW1yo/edit?usp=sharing"",""เชียงราย!I238"")"),680)</f>
        <v>680</v>
      </c>
      <c r="J343" s="197">
        <f ca="1">IFERROR(__xludf.DUMMYFUNCTION("IMPORTRANGE(""https://docs.google.com/spreadsheets/d/11923uPwbBZFjjGgGUA6NLw09EwE0CqkOc4q9oUmW1yo/edit?usp=sharing"",""เชียงราย!J238"")"),1)</f>
        <v>1</v>
      </c>
      <c r="K343" s="350">
        <f t="shared" ca="1" si="103"/>
        <v>0.14705882352941177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IFERROR(__xludf.DUMMYFUNCTION("IMPORTRANGE(""https://docs.google.com/spreadsheets/d/11923uPwbBZFjjGgGUA6NLw09EwE0CqkOc4q9oUmW1yo/edit?usp=sharing"",""เชียงราย!I239"")"),0)</f>
        <v>0</v>
      </c>
      <c r="J344" s="197">
        <f ca="1">IFERROR(__xludf.DUMMYFUNCTION("IMPORTRANGE(""https://docs.google.com/spreadsheets/d/11923uPwbBZFjjGgGUA6NLw09EwE0CqkOc4q9oUmW1yo/edit?usp=sharing"",""เชียงราย!J239"")"),2.4)</f>
        <v>2.4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IFERROR(__xludf.DUMMYFUNCTION("IMPORTRANGE(""https://docs.google.com/spreadsheets/d/11923uPwbBZFjjGgGUA6NLw09EwE0CqkOc4q9oUmW1yo/edit?usp=sharing"",""เชียงราย!I240"")"),680)</f>
        <v>680</v>
      </c>
      <c r="J345" s="197">
        <f ca="1">IFERROR(__xludf.DUMMYFUNCTION("IMPORTRANGE(""https://docs.google.com/spreadsheets/d/11923uPwbBZFjjGgGUA6NLw09EwE0CqkOc4q9oUmW1yo/edit?usp=sharing"",""เชียงราย!J240"")"),48)</f>
        <v>48</v>
      </c>
      <c r="K345" s="350">
        <f t="shared" ca="1" si="103"/>
        <v>7.0588235294117645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IFERROR(__xludf.DUMMYFUNCTION("IMPORTRANGE(""https://docs.google.com/spreadsheets/d/11923uPwbBZFjjGgGUA6NLw09EwE0CqkOc4q9oUmW1yo/edit?usp=sharing"",""เชียงราย!I241"")"),0)</f>
        <v>0</v>
      </c>
      <c r="J346" s="197">
        <f ca="1">IFERROR(__xludf.DUMMYFUNCTION("IMPORTRANGE(""https://docs.google.com/spreadsheets/d/11923uPwbBZFjjGgGUA6NLw09EwE0CqkOc4q9oUmW1yo/edit?usp=sharing"",""เชียงราย!J241"")"),427.23)</f>
        <v>427.23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IFERROR(__xludf.DUMMYFUNCTION("IMPORTRANGE(""https://docs.google.com/spreadsheets/d/11923uPwbBZFjjGgGUA6NLw09EwE0CqkOc4q9oUmW1yo/edit?usp=sharing"",""เชียงราย!L242"")"),2434919)</f>
        <v>2434919</v>
      </c>
      <c r="M347" s="366"/>
      <c r="N347" s="366">
        <f ca="1">IFERROR(__xludf.DUMMYFUNCTION("IMPORTRANGE(""https://docs.google.com/spreadsheets/d/11923uPwbBZFjjGgGUA6NLw09EwE0CqkOc4q9oUmW1yo/edit?usp=sharing"",""เชียงราย!M242"")"),227630)</f>
        <v>227630</v>
      </c>
      <c r="O347" s="366">
        <f ca="1">+IF(L347&gt;0,N347*100/L347,0)</f>
        <v>9.3485655991020646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IFERROR(__xludf.DUMMYFUNCTION("IMPORTRANGE(""https://docs.google.com/spreadsheets/d/11923uPwbBZFjjGgGUA6NLw09EwE0CqkOc4q9oUmW1yo/edit?usp=sharing"",""เชียงราย!I244"")"),200)</f>
        <v>200</v>
      </c>
      <c r="J349" s="379">
        <f ca="1">IFERROR(__xludf.DUMMYFUNCTION("IMPORTRANGE(""https://docs.google.com/spreadsheets/d/11923uPwbBZFjjGgGUA6NLw09EwE0CqkOc4q9oUmW1yo/edit?usp=sharing"",""เชียงราย!J244"")"),0)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IFERROR(__xludf.DUMMYFUNCTION("IMPORTRANGE(""https://docs.google.com/spreadsheets/d/11923uPwbBZFjjGgGUA6NLw09EwE0CqkOc4q9oUmW1yo/edit?usp=sharing"",""เชียงราย!L244"")"),532200)</f>
        <v>532200</v>
      </c>
      <c r="M349" s="381"/>
      <c r="N349" s="381">
        <f ca="1">IFERROR(__xludf.DUMMYFUNCTION("IMPORTRANGE(""https://docs.google.com/spreadsheets/d/11923uPwbBZFjjGgGUA6NLw09EwE0CqkOc4q9oUmW1yo/edit?usp=sharing"",""เชียงราย!M244"")"),32500)</f>
        <v>32500</v>
      </c>
      <c r="O349" s="381">
        <f ca="1">+IF(L349&gt;0,N349*100/L349,0)</f>
        <v>6.1067267944381811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IFERROR(__xludf.DUMMYFUNCTION("IMPORTRANGE(""https://docs.google.com/spreadsheets/d/11923uPwbBZFjjGgGUA6NLw09EwE0CqkOc4q9oUmW1yo/edit?usp=sharing"",""เชียงราย!I245"")"),100)</f>
        <v>100</v>
      </c>
      <c r="J350" s="379">
        <f ca="1">IFERROR(__xludf.DUMMYFUNCTION("IMPORTRANGE(""https://docs.google.com/spreadsheets/d/11923uPwbBZFjjGgGUA6NLw09EwE0CqkOc4q9oUmW1yo/edit?usp=sharing"",""เชียงราย!J245"")"),0)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IFERROR(__xludf.DUMMYFUNCTION("IMPORTRANGE(""https://docs.google.com/spreadsheets/d/11923uPwbBZFjjGgGUA6NLw09EwE0CqkOc4q9oUmW1yo/edit?usp=sharing"",""เชียงราย!L246"")"),0)</f>
        <v>0</v>
      </c>
      <c r="M351" s="172"/>
      <c r="N351" s="172">
        <f ca="1">IFERROR(__xludf.DUMMYFUNCTION("IMPORTRANGE(""https://docs.google.com/spreadsheets/d/11923uPwbBZFjjGgGUA6NLw09EwE0CqkOc4q9oUmW1yo/edit?usp=sharing"",""เชียงราย!M246"")"),0)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IFERROR(__xludf.DUMMYFUNCTION("IMPORTRANGE(""https://docs.google.com/spreadsheets/d/11923uPwbBZFjjGgGUA6NLw09EwE0CqkOc4q9oUmW1yo/edit?usp=sharing"",""เชียงราย!L247"")"),532200)</f>
        <v>532200</v>
      </c>
      <c r="M352" s="173"/>
      <c r="N352" s="172">
        <f ca="1">IFERROR(__xludf.DUMMYFUNCTION("IMPORTRANGE(""https://docs.google.com/spreadsheets/d/11923uPwbBZFjjGgGUA6NLw09EwE0CqkOc4q9oUmW1yo/edit?usp=sharing"",""เชียงราย!M247"")"),32500)</f>
        <v>32500</v>
      </c>
      <c r="O352" s="173">
        <f t="shared" ca="1" si="105"/>
        <v>6.1067267944381811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IFERROR(__xludf.DUMMYFUNCTION("IMPORTRANGE(""https://docs.google.com/spreadsheets/d/11923uPwbBZFjjGgGUA6NLw09EwE0CqkOc4q9oUmW1yo/edit?usp=sharing"",""เชียงราย!L248"")"),0)</f>
        <v>0</v>
      </c>
      <c r="M353" s="178"/>
      <c r="N353" s="178">
        <f ca="1">IFERROR(__xludf.DUMMYFUNCTION("IMPORTRANGE(""https://docs.google.com/spreadsheets/d/11923uPwbBZFjjGgGUA6NLw09EwE0CqkOc4q9oUmW1yo/edit?usp=sharing"",""เชียงราย!M248"")"),0)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IFERROR(__xludf.DUMMYFUNCTION("IMPORTRANGE(""https://docs.google.com/spreadsheets/d/11923uPwbBZFjjGgGUA6NLw09EwE0CqkOc4q9oUmW1yo/edit?usp=sharing"",""เชียงราย!L249"")"),532200)</f>
        <v>532200</v>
      </c>
      <c r="M354" s="178"/>
      <c r="N354" s="175">
        <f ca="1">IFERROR(__xludf.DUMMYFUNCTION("IMPORTRANGE(""https://docs.google.com/spreadsheets/d/11923uPwbBZFjjGgGUA6NLw09EwE0CqkOc4q9oUmW1yo/edit?usp=sharing"",""เชียงราย!M249"")"),32500)</f>
        <v>32500</v>
      </c>
      <c r="O354" s="178">
        <f t="shared" ca="1" si="105"/>
        <v>6.1067267944381811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IFERROR(__xludf.DUMMYFUNCTION("IMPORTRANGE(""https://docs.google.com/spreadsheets/d/11923uPwbBZFjjGgGUA6NLw09EwE0CqkOc4q9oUmW1yo/edit?usp=sharing"",""เชียงราย!M250"")"),0)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IFERROR(__xludf.DUMMYFUNCTION("IMPORTRANGE(""https://docs.google.com/spreadsheets/d/11923uPwbBZFjjGgGUA6NLw09EwE0CqkOc4q9oUmW1yo/edit?usp=sharing"",""เชียงราย!M251"")"),0)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IFERROR(__xludf.DUMMYFUNCTION("IMPORTRANGE(""https://docs.google.com/spreadsheets/d/11923uPwbBZFjjGgGUA6NLw09EwE0CqkOc4q9oUmW1yo/edit?usp=sharing"",""เชียงราย!M252"")"),31500)</f>
        <v>31500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IFERROR(__xludf.DUMMYFUNCTION("IMPORTRANGE(""https://docs.google.com/spreadsheets/d/11923uPwbBZFjjGgGUA6NLw09EwE0CqkOc4q9oUmW1yo/edit?usp=sharing"",""เชียงราย!M253"")"),1000)</f>
        <v>1000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IFERROR(__xludf.DUMMYFUNCTION("IMPORTRANGE(""https://docs.google.com/spreadsheets/d/11923uPwbBZFjjGgGUA6NLw09EwE0CqkOc4q9oUmW1yo/edit?usp=sharing"",""เชียงราย!J255"")"),0)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IFERROR(__xludf.DUMMYFUNCTION("IMPORTRANGE(""https://docs.google.com/spreadsheets/d/11923uPwbBZFjjGgGUA6NLw09EwE0CqkOc4q9oUmW1yo/edit?usp=sharing"",""เชียงราย!J256"")"),1)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IFERROR(__xludf.DUMMYFUNCTION("IMPORTRANGE(""https://docs.google.com/spreadsheets/d/11923uPwbBZFjjGgGUA6NLw09EwE0CqkOc4q9oUmW1yo/edit?usp=sharing"",""เชียงราย!J257"")"),1)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IFERROR(__xludf.DUMMYFUNCTION("IMPORTRANGE(""https://docs.google.com/spreadsheets/d/11923uPwbBZFjjGgGUA6NLw09EwE0CqkOc4q9oUmW1yo/edit?usp=sharing"",""เชียงราย!J258"")"),1)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IFERROR(__xludf.DUMMYFUNCTION("IMPORTRANGE(""https://docs.google.com/spreadsheets/d/11923uPwbBZFjjGgGUA6NLw09EwE0CqkOc4q9oUmW1yo/edit?usp=sharing"",""เชียงราย!J166"")"),0)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IFERROR(__xludf.DUMMYFUNCTION("IMPORTRANGE(""https://docs.google.com/spreadsheets/d/11923uPwbBZFjjGgGUA6NLw09EwE0CqkOc4q9oUmW1yo/edit?usp=sharing"",""เชียงราย!J166"")"),0)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IFERROR(__xludf.DUMMYFUNCTION("IMPORTRANGE(""https://docs.google.com/spreadsheets/d/11923uPwbBZFjjGgGUA6NLw09EwE0CqkOc4q9oUmW1yo/edit?usp=sharing"",""เชียงราย!J166"")"),0)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IFERROR(__xludf.DUMMYFUNCTION("IMPORTRANGE(""https://docs.google.com/spreadsheets/d/11923uPwbBZFjjGgGUA6NLw09EwE0CqkOc4q9oUmW1yo/edit?usp=sharing"",""เชียงราย!J166"")"),0)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IFERROR(__xludf.DUMMYFUNCTION("IMPORTRANGE(""https://docs.google.com/spreadsheets/d/11923uPwbBZFjjGgGUA6NLw09EwE0CqkOc4q9oUmW1yo/edit?usp=sharing"",""เชียงราย!I263"")"),100)</f>
        <v>100</v>
      </c>
      <c r="J368" s="197">
        <f ca="1">IFERROR(__xludf.DUMMYFUNCTION("IMPORTRANGE(""https://docs.google.com/spreadsheets/d/11923uPwbBZFjjGgGUA6NLw09EwE0CqkOc4q9oUmW1yo/edit?usp=sharing"",""เชียงราย!J263"")"),0)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IFERROR(__xludf.DUMMYFUNCTION("IMPORTRANGE(""https://docs.google.com/spreadsheets/d/11923uPwbBZFjjGgGUA6NLw09EwE0CqkOc4q9oUmW1yo/edit?usp=sharing"",""เชียงราย!I164"")"),0)</f>
        <v>0</v>
      </c>
      <c r="J369" s="213">
        <f ca="1">IFERROR(__xludf.DUMMYFUNCTION("IMPORTRANGE(""https://docs.google.com/spreadsheets/d/11923uPwbBZFjjGgGUA6NLw09EwE0CqkOc4q9oUmW1yo/edit?usp=sharing"",""เชียงราย!J164"")"),0)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IFERROR(__xludf.DUMMYFUNCTION("IMPORTRANGE(""https://docs.google.com/spreadsheets/d/11923uPwbBZFjjGgGUA6NLw09EwE0CqkOc4q9oUmW1yo/edit?usp=sharing"",""เชียงราย!I265"")"),100)</f>
        <v>100</v>
      </c>
      <c r="J370" s="213">
        <f ca="1">IFERROR(__xludf.DUMMYFUNCTION("IMPORTRANGE(""https://docs.google.com/spreadsheets/d/11923uPwbBZFjjGgGUA6NLw09EwE0CqkOc4q9oUmW1yo/edit?usp=sharing"",""เชียงราย!J265"")"),50)</f>
        <v>50</v>
      </c>
      <c r="K370" s="171">
        <f t="shared" ca="1" si="106"/>
        <v>50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IFERROR(__xludf.DUMMYFUNCTION("IMPORTRANGE(""https://docs.google.com/spreadsheets/d/11923uPwbBZFjjGgGUA6NLw09EwE0CqkOc4q9oUmW1yo/edit?usp=sharing"",""เชียงราย!I164"")"),0)</f>
        <v>0</v>
      </c>
      <c r="J371" s="198">
        <f ca="1">IFERROR(__xludf.DUMMYFUNCTION("IMPORTRANGE(""https://docs.google.com/spreadsheets/d/11923uPwbBZFjjGgGUA6NLw09EwE0CqkOc4q9oUmW1yo/edit?usp=sharing"",""เชียงราย!J164"")"),0)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IFERROR(__xludf.DUMMYFUNCTION("IMPORTRANGE(""https://docs.google.com/spreadsheets/d/11923uPwbBZFjjGgGUA6NLw09EwE0CqkOc4q9oUmW1yo/edit?usp=sharing"",""เชียงราย!I267"")"),100)</f>
        <v>100</v>
      </c>
      <c r="J372" s="198">
        <f ca="1">IFERROR(__xludf.DUMMYFUNCTION("IMPORTRANGE(""https://docs.google.com/spreadsheets/d/11923uPwbBZFjjGgGUA6NLw09EwE0CqkOc4q9oUmW1yo/edit?usp=sharing"",""เชียงราย!J267"")"),0)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IFERROR(__xludf.DUMMYFUNCTION("IMPORTRANGE(""https://docs.google.com/spreadsheets/d/11923uPwbBZFjjGgGUA6NLw09EwE0CqkOc4q9oUmW1yo/edit?usp=sharing"",""เชียงราย!I164"")"),0)</f>
        <v>0</v>
      </c>
      <c r="J373" s="213">
        <f ca="1">IFERROR(__xludf.DUMMYFUNCTION("IMPORTRANGE(""https://docs.google.com/spreadsheets/d/11923uPwbBZFjjGgGUA6NLw09EwE0CqkOc4q9oUmW1yo/edit?usp=sharing"",""เชียงราย!J164"")"),0)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IFERROR(__xludf.DUMMYFUNCTION("IMPORTRANGE(""https://docs.google.com/spreadsheets/d/11923uPwbBZFjjGgGUA6NLw09EwE0CqkOc4q9oUmW1yo/edit?usp=sharing"",""เชียงราย!I164"")"),0)</f>
        <v>0</v>
      </c>
      <c r="J374" s="197">
        <f ca="1">IFERROR(__xludf.DUMMYFUNCTION("IMPORTRANGE(""https://docs.google.com/spreadsheets/d/11923uPwbBZFjjGgGUA6NLw09EwE0CqkOc4q9oUmW1yo/edit?usp=sharing"",""เชียงราย!J164"")"),0)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IFERROR(__xludf.DUMMYFUNCTION("IMPORTRANGE(""https://docs.google.com/spreadsheets/d/11923uPwbBZFjjGgGUA6NLw09EwE0CqkOc4q9oUmW1yo/edit?usp=sharing"",""เชียงราย!I270"")"),200)</f>
        <v>200</v>
      </c>
      <c r="J375" s="197">
        <f ca="1">IFERROR(__xludf.DUMMYFUNCTION("IMPORTRANGE(""https://docs.google.com/spreadsheets/d/11923uPwbBZFjjGgGUA6NLw09EwE0CqkOc4q9oUmW1yo/edit?usp=sharing"",""เชียงราย!J270"")"),0)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IFERROR(__xludf.DUMMYFUNCTION("IMPORTRANGE(""https://docs.google.com/spreadsheets/d/11923uPwbBZFjjGgGUA6NLw09EwE0CqkOc4q9oUmW1yo/edit?usp=sharing"",""เชียงราย!I271"")"),100)</f>
        <v>100</v>
      </c>
      <c r="J376" s="198">
        <f ca="1">IFERROR(__xludf.DUMMYFUNCTION("IMPORTRANGE(""https://docs.google.com/spreadsheets/d/11923uPwbBZFjjGgGUA6NLw09EwE0CqkOc4q9oUmW1yo/edit?usp=sharing"",""เชียงราย!J271"")"),0)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IFERROR(__xludf.DUMMYFUNCTION("IMPORTRANGE(""https://docs.google.com/spreadsheets/d/11923uPwbBZFjjGgGUA6NLw09EwE0CqkOc4q9oUmW1yo/edit?usp=sharing"",""เชียงราย!I272"")"),100)</f>
        <v>100</v>
      </c>
      <c r="J377" s="213">
        <f ca="1">IFERROR(__xludf.DUMMYFUNCTION("IMPORTRANGE(""https://docs.google.com/spreadsheets/d/11923uPwbBZFjjGgGUA6NLw09EwE0CqkOc4q9oUmW1yo/edit?usp=sharing"",""เชียงราย!J272"")"),0)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IFERROR(__xludf.DUMMYFUNCTION("IMPORTRANGE(""https://docs.google.com/spreadsheets/d/11923uPwbBZFjjGgGUA6NLw09EwE0CqkOc4q9oUmW1yo/edit?usp=sharing"",""เชียงราย!J273"")"),0)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IFERROR(__xludf.DUMMYFUNCTION("IMPORTRANGE(""https://docs.google.com/spreadsheets/d/11923uPwbBZFjjGgGUA6NLw09EwE0CqkOc4q9oUmW1yo/edit?usp=sharing"",""เชียงราย!J274"")"),0)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IFERROR(__xludf.DUMMYFUNCTION("IMPORTRANGE(""https://docs.google.com/spreadsheets/d/11923uPwbBZFjjGgGUA6NLw09EwE0CqkOc4q9oUmW1yo/edit?usp=sharing"",""เชียงราย!I275"")"),500)</f>
        <v>500</v>
      </c>
      <c r="J380" s="379">
        <f ca="1">IFERROR(__xludf.DUMMYFUNCTION("IMPORTRANGE(""https://docs.google.com/spreadsheets/d/11923uPwbBZFjjGgGUA6NLw09EwE0CqkOc4q9oUmW1yo/edit?usp=sharing"",""เชียงราย!J275"")"),0)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IFERROR(__xludf.DUMMYFUNCTION("IMPORTRANGE(""https://docs.google.com/spreadsheets/d/11923uPwbBZFjjGgGUA6NLw09EwE0CqkOc4q9oUmW1yo/edit?usp=sharing"",""เชียงราย!L275"")"),460140)</f>
        <v>460140</v>
      </c>
      <c r="M380" s="381"/>
      <c r="N380" s="381">
        <f ca="1">IFERROR(__xludf.DUMMYFUNCTION("IMPORTRANGE(""https://docs.google.com/spreadsheets/d/11923uPwbBZFjjGgGUA6NLw09EwE0CqkOc4q9oUmW1yo/edit?usp=sharing"",""เชียงราย!M275"")"),6890)</f>
        <v>6890</v>
      </c>
      <c r="O380" s="381">
        <f ca="1">+IF(L380&gt;0,N380*100/L380,0)</f>
        <v>1.4973703655409223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IFERROR(__xludf.DUMMYFUNCTION("IMPORTRANGE(""https://docs.google.com/spreadsheets/d/11923uPwbBZFjjGgGUA6NLw09EwE0CqkOc4q9oUmW1yo/edit?usp=sharing"",""เชียงราย!I276"")"),50)</f>
        <v>50</v>
      </c>
      <c r="J381" s="379">
        <f ca="1">IFERROR(__xludf.DUMMYFUNCTION("IMPORTRANGE(""https://docs.google.com/spreadsheets/d/11923uPwbBZFjjGgGUA6NLw09EwE0CqkOc4q9oUmW1yo/edit?usp=sharing"",""เชียงราย!J276"")"),0)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IFERROR(__xludf.DUMMYFUNCTION("IMPORTRANGE(""https://docs.google.com/spreadsheets/d/11923uPwbBZFjjGgGUA6NLw09EwE0CqkOc4q9oUmW1yo/edit?usp=sharing"",""เชียงราย!L277"")"),0)</f>
        <v>0</v>
      </c>
      <c r="M382" s="172"/>
      <c r="N382" s="172">
        <f ca="1">IFERROR(__xludf.DUMMYFUNCTION("IMPORTRANGE(""https://docs.google.com/spreadsheets/d/11923uPwbBZFjjGgGUA6NLw09EwE0CqkOc4q9oUmW1yo/edit?usp=sharing"",""เชียงราย!M277"")"),0)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IFERROR(__xludf.DUMMYFUNCTION("IMPORTRANGE(""https://docs.google.com/spreadsheets/d/11923uPwbBZFjjGgGUA6NLw09EwE0CqkOc4q9oUmW1yo/edit?usp=sharing"",""เชียงราย!L278"")"),460140)</f>
        <v>460140</v>
      </c>
      <c r="M383" s="173"/>
      <c r="N383" s="173">
        <f ca="1">IFERROR(__xludf.DUMMYFUNCTION("IMPORTRANGE(""https://docs.google.com/spreadsheets/d/11923uPwbBZFjjGgGUA6NLw09EwE0CqkOc4q9oUmW1yo/edit?usp=sharing"",""เชียงราย!M278"")"),6890)</f>
        <v>6890</v>
      </c>
      <c r="O383" s="173">
        <f t="shared" ca="1" si="109"/>
        <v>1.4973703655409223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IFERROR(__xludf.DUMMYFUNCTION("IMPORTRANGE(""https://docs.google.com/spreadsheets/d/11923uPwbBZFjjGgGUA6NLw09EwE0CqkOc4q9oUmW1yo/edit?usp=sharing"",""เชียงราย!L279"")"),0)</f>
        <v>0</v>
      </c>
      <c r="M384" s="178"/>
      <c r="N384" s="178">
        <f ca="1">IFERROR(__xludf.DUMMYFUNCTION("IMPORTRANGE(""https://docs.google.com/spreadsheets/d/11923uPwbBZFjjGgGUA6NLw09EwE0CqkOc4q9oUmW1yo/edit?usp=sharing"",""เชียงราย!M279"")"),0)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IFERROR(__xludf.DUMMYFUNCTION("IMPORTRANGE(""https://docs.google.com/spreadsheets/d/11923uPwbBZFjjGgGUA6NLw09EwE0CqkOc4q9oUmW1yo/edit?usp=sharing"",""เชียงราย!L280"")"),460140)</f>
        <v>460140</v>
      </c>
      <c r="M385" s="178"/>
      <c r="N385" s="175">
        <f ca="1">IFERROR(__xludf.DUMMYFUNCTION("IMPORTRANGE(""https://docs.google.com/spreadsheets/d/11923uPwbBZFjjGgGUA6NLw09EwE0CqkOc4q9oUmW1yo/edit?usp=sharing"",""เชียงราย!M280"")"),6890)</f>
        <v>6890</v>
      </c>
      <c r="O385" s="178">
        <f t="shared" ca="1" si="109"/>
        <v>1.4973703655409223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IFERROR(__xludf.DUMMYFUNCTION("IMPORTRANGE(""https://docs.google.com/spreadsheets/d/11923uPwbBZFjjGgGUA6NLw09EwE0CqkOc4q9oUmW1yo/edit?usp=sharing"",""เชียงราย!M281"")"),750)</f>
        <v>750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IFERROR(__xludf.DUMMYFUNCTION("IMPORTRANGE(""https://docs.google.com/spreadsheets/d/11923uPwbBZFjjGgGUA6NLw09EwE0CqkOc4q9oUmW1yo/edit?usp=sharing"",""เชียงราย!M282"")"),0)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IFERROR(__xludf.DUMMYFUNCTION("IMPORTRANGE(""https://docs.google.com/spreadsheets/d/11923uPwbBZFjjGgGUA6NLw09EwE0CqkOc4q9oUmW1yo/edit?usp=sharing"",""เชียงราย!M283"")"),0)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IFERROR(__xludf.DUMMYFUNCTION("IMPORTRANGE(""https://docs.google.com/spreadsheets/d/11923uPwbBZFjjGgGUA6NLw09EwE0CqkOc4q9oUmW1yo/edit?usp=sharing"",""เชียงราย!M284"")"),6140)</f>
        <v>6140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IFERROR(__xludf.DUMMYFUNCTION("IMPORTRANGE(""https://docs.google.com/spreadsheets/d/11923uPwbBZFjjGgGUA6NLw09EwE0CqkOc4q9oUmW1yo/edit?usp=sharing"",""เชียงราย!J286"")"),0)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IFERROR(__xludf.DUMMYFUNCTION("IMPORTRANGE(""https://docs.google.com/spreadsheets/d/11923uPwbBZFjjGgGUA6NLw09EwE0CqkOc4q9oUmW1yo/edit?usp=sharing"",""เชียงราย!J287"")"),1)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IFERROR(__xludf.DUMMYFUNCTION("IMPORTRANGE(""https://docs.google.com/spreadsheets/d/11923uPwbBZFjjGgGUA6NLw09EwE0CqkOc4q9oUmW1yo/edit?usp=sharing"",""เชียงราย!J288"")"),1)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IFERROR(__xludf.DUMMYFUNCTION("IMPORTRANGE(""https://docs.google.com/spreadsheets/d/11923uPwbBZFjjGgGUA6NLw09EwE0CqkOc4q9oUmW1yo/edit?usp=sharing"",""เชียงราย!J289"")"),1)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IFERROR(__xludf.DUMMYFUNCTION("IMPORTRANGE(""https://docs.google.com/spreadsheets/d/11923uPwbBZFjjGgGUA6NLw09EwE0CqkOc4q9oUmW1yo/edit?usp=sharing"",""เชียงราย!I291"")"),50)</f>
        <v>50</v>
      </c>
      <c r="J396" s="207">
        <f ca="1">IFERROR(__xludf.DUMMYFUNCTION("IMPORTRANGE(""https://docs.google.com/spreadsheets/d/11923uPwbBZFjjGgGUA6NLw09EwE0CqkOc4q9oUmW1yo/edit?usp=sharing"",""เชียงราย!J291"")"),0)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IFERROR(__xludf.DUMMYFUNCTION("IMPORTRANGE(""https://docs.google.com/spreadsheets/d/11923uPwbBZFjjGgGUA6NLw09EwE0CqkOc4q9oUmW1yo/edit?usp=sharing"",""เชียงราย!I292"")"),500)</f>
        <v>500</v>
      </c>
      <c r="J397" s="207">
        <f ca="1">IFERROR(__xludf.DUMMYFUNCTION("IMPORTRANGE(""https://docs.google.com/spreadsheets/d/11923uPwbBZFjjGgGUA6NLw09EwE0CqkOc4q9oUmW1yo/edit?usp=sharing"",""เชียงราย!J292"")"),0)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IFERROR(__xludf.DUMMYFUNCTION("IMPORTRANGE(""https://docs.google.com/spreadsheets/d/11923uPwbBZFjjGgGUA6NLw09EwE0CqkOc4q9oUmW1yo/edit?usp=sharing"",""เชียงราย!I293"")"),50)</f>
        <v>50</v>
      </c>
      <c r="J398" s="207">
        <f ca="1">IFERROR(__xludf.DUMMYFUNCTION("IMPORTRANGE(""https://docs.google.com/spreadsheets/d/11923uPwbBZFjjGgGUA6NLw09EwE0CqkOc4q9oUmW1yo/edit?usp=sharing"",""เชียงราย!J293"")"),0)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IFERROR(__xludf.DUMMYFUNCTION("IMPORTRANGE(""https://docs.google.com/spreadsheets/d/11923uPwbBZFjjGgGUA6NLw09EwE0CqkOc4q9oUmW1yo/edit?usp=sharing"",""เชียงราย!J294"")"),0)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IFERROR(__xludf.DUMMYFUNCTION("IMPORTRANGE(""https://docs.google.com/spreadsheets/d/11923uPwbBZFjjGgGUA6NLw09EwE0CqkOc4q9oUmW1yo/edit?usp=sharing"",""เชียงราย!J295"")"),0)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IFERROR(__xludf.DUMMYFUNCTION("IMPORTRANGE(""https://docs.google.com/spreadsheets/d/11923uPwbBZFjjGgGUA6NLw09EwE0CqkOc4q9oUmW1yo/edit?usp=sharing"",""เชียงราย!I296"")"),174)</f>
        <v>174</v>
      </c>
      <c r="J401" s="379">
        <f ca="1">IFERROR(__xludf.DUMMYFUNCTION("IMPORTRANGE(""https://docs.google.com/spreadsheets/d/11923uPwbBZFjjGgGUA6NLw09EwE0CqkOc4q9oUmW1yo/edit?usp=sharing"",""เชียงราย!J296"")"),0)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IFERROR(__xludf.DUMMYFUNCTION("IMPORTRANGE(""https://docs.google.com/spreadsheets/d/11923uPwbBZFjjGgGUA6NLw09EwE0CqkOc4q9oUmW1yo/edit?usp=sharing"",""เชียงราย!L296"")"),195900)</f>
        <v>195900</v>
      </c>
      <c r="M401" s="381"/>
      <c r="N401" s="381">
        <f ca="1">IFERROR(__xludf.DUMMYFUNCTION("IMPORTRANGE(""https://docs.google.com/spreadsheets/d/11923uPwbBZFjjGgGUA6NLw09EwE0CqkOc4q9oUmW1yo/edit?usp=sharing"",""เชียงราย!M296"")"),0)</f>
        <v>0</v>
      </c>
      <c r="O401" s="381">
        <f ca="1">+IF(L401&gt;0,N401*100/L401,0)</f>
        <v>0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IFERROR(__xludf.DUMMYFUNCTION("IMPORTRANGE(""https://docs.google.com/spreadsheets/d/11923uPwbBZFjjGgGUA6NLw09EwE0CqkOc4q9oUmW1yo/edit?usp=sharing"",""เชียงราย!I297"")"),58)</f>
        <v>58</v>
      </c>
      <c r="J402" s="379">
        <f ca="1">IFERROR(__xludf.DUMMYFUNCTION("IMPORTRANGE(""https://docs.google.com/spreadsheets/d/11923uPwbBZFjjGgGUA6NLw09EwE0CqkOc4q9oUmW1yo/edit?usp=sharing"",""เชียงราย!J297"")"),0)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IFERROR(__xludf.DUMMYFUNCTION("IMPORTRANGE(""https://docs.google.com/spreadsheets/d/11923uPwbBZFjjGgGUA6NLw09EwE0CqkOc4q9oUmW1yo/edit?usp=sharing"",""เชียงราย!L298"")"),0)</f>
        <v>0</v>
      </c>
      <c r="M403" s="172"/>
      <c r="N403" s="178">
        <f ca="1">IFERROR(__xludf.DUMMYFUNCTION("IMPORTRANGE(""https://docs.google.com/spreadsheets/d/11923uPwbBZFjjGgGUA6NLw09EwE0CqkOc4q9oUmW1yo/edit?usp=sharing"",""เชียงราย!M298"")"),0)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IFERROR(__xludf.DUMMYFUNCTION("IMPORTRANGE(""https://docs.google.com/spreadsheets/d/11923uPwbBZFjjGgGUA6NLw09EwE0CqkOc4q9oUmW1yo/edit?usp=sharing"",""เชียงราย!L299"")"),195900)</f>
        <v>195900</v>
      </c>
      <c r="M404" s="173"/>
      <c r="N404" s="178">
        <f ca="1">IFERROR(__xludf.DUMMYFUNCTION("IMPORTRANGE(""https://docs.google.com/spreadsheets/d/11923uPwbBZFjjGgGUA6NLw09EwE0CqkOc4q9oUmW1yo/edit?usp=sharing"",""เชียงราย!M299"")"),0)</f>
        <v>0</v>
      </c>
      <c r="O404" s="178">
        <f t="shared" ca="1" si="112"/>
        <v>0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IFERROR(__xludf.DUMMYFUNCTION("IMPORTRANGE(""https://docs.google.com/spreadsheets/d/11923uPwbBZFjjGgGUA6NLw09EwE0CqkOc4q9oUmW1yo/edit?usp=sharing"",""เชียงราย!L300"")"),0)</f>
        <v>0</v>
      </c>
      <c r="M405" s="178"/>
      <c r="N405" s="178">
        <f ca="1">IFERROR(__xludf.DUMMYFUNCTION("IMPORTRANGE(""https://docs.google.com/spreadsheets/d/11923uPwbBZFjjGgGUA6NLw09EwE0CqkOc4q9oUmW1yo/edit?usp=sharing"",""เชียงราย!M300"")"),0)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IFERROR(__xludf.DUMMYFUNCTION("IMPORTRANGE(""https://docs.google.com/spreadsheets/d/11923uPwbBZFjjGgGUA6NLw09EwE0CqkOc4q9oUmW1yo/edit?usp=sharing"",""เชียงราย!L301"")"),195900)</f>
        <v>195900</v>
      </c>
      <c r="M406" s="178"/>
      <c r="N406" s="178">
        <f ca="1">IFERROR(__xludf.DUMMYFUNCTION("IMPORTRANGE(""https://docs.google.com/spreadsheets/d/11923uPwbBZFjjGgGUA6NLw09EwE0CqkOc4q9oUmW1yo/edit?usp=sharing"",""เชียงราย!M301"")"),0)</f>
        <v>0</v>
      </c>
      <c r="O406" s="178">
        <f t="shared" ca="1" si="112"/>
        <v>0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IFERROR(__xludf.DUMMYFUNCTION("IMPORTRANGE(""https://docs.google.com/spreadsheets/d/11923uPwbBZFjjGgGUA6NLw09EwE0CqkOc4q9oUmW1yo/edit?usp=sharing"",""เชียงราย!M302"")"),0)</f>
        <v>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IFERROR(__xludf.DUMMYFUNCTION("IMPORTRANGE(""https://docs.google.com/spreadsheets/d/11923uPwbBZFjjGgGUA6NLw09EwE0CqkOc4q9oUmW1yo/edit?usp=sharing"",""เชียงราย!M303"")"),0)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IFERROR(__xludf.DUMMYFUNCTION("IMPORTRANGE(""https://docs.google.com/spreadsheets/d/11923uPwbBZFjjGgGUA6NLw09EwE0CqkOc4q9oUmW1yo/edit?usp=sharing"",""เชียงราย!M304"")"),0)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IFERROR(__xludf.DUMMYFUNCTION("IMPORTRANGE(""https://docs.google.com/spreadsheets/d/11923uPwbBZFjjGgGUA6NLw09EwE0CqkOc4q9oUmW1yo/edit?usp=sharing"",""เชียงราย!M305"")"),0)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IFERROR(__xludf.DUMMYFUNCTION("IMPORTRANGE(""https://docs.google.com/spreadsheets/d/11923uPwbBZFjjGgGUA6NLw09EwE0CqkOc4q9oUmW1yo/edit?usp=sharing"",""เชียงราย!J307"")"),0)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IFERROR(__xludf.DUMMYFUNCTION("IMPORTRANGE(""https://docs.google.com/spreadsheets/d/11923uPwbBZFjjGgGUA6NLw09EwE0CqkOc4q9oUmW1yo/edit?usp=sharing"",""เชียงราย!J308"")"),1)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IFERROR(__xludf.DUMMYFUNCTION("IMPORTRANGE(""https://docs.google.com/spreadsheets/d/11923uPwbBZFjjGgGUA6NLw09EwE0CqkOc4q9oUmW1yo/edit?usp=sharing"",""เชียงราย!J309"")"),1)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IFERROR(__xludf.DUMMYFUNCTION("IMPORTRANGE(""https://docs.google.com/spreadsheets/d/11923uPwbBZFjjGgGUA6NLw09EwE0CqkOc4q9oUmW1yo/edit?usp=sharing"",""เชียงราย!J310"")"),1)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IFERROR(__xludf.DUMMYFUNCTION("IMPORTRANGE(""https://docs.google.com/spreadsheets/d/11923uPwbBZFjjGgGUA6NLw09EwE0CqkOc4q9oUmW1yo/edit?usp=sharing"",""เชียงราย!I311"")"),58)</f>
        <v>58</v>
      </c>
      <c r="J416" s="210">
        <f ca="1">IFERROR(__xludf.DUMMYFUNCTION("IMPORTRANGE(""https://docs.google.com/spreadsheets/d/11923uPwbBZFjjGgGUA6NLw09EwE0CqkOc4q9oUmW1yo/edit?usp=sharing"",""เชียงราย!J311"")"),0)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IFERROR(__xludf.DUMMYFUNCTION("IMPORTRANGE(""https://docs.google.com/spreadsheets/d/11923uPwbBZFjjGgGUA6NLw09EwE0CqkOc4q9oUmW1yo/edit?usp=sharing"",""เชียงราย!I312"")"),10)</f>
        <v>10</v>
      </c>
      <c r="J417" s="400">
        <f ca="1">IFERROR(__xludf.DUMMYFUNCTION("IMPORTRANGE(""https://docs.google.com/spreadsheets/d/11923uPwbBZFjjGgGUA6NLw09EwE0CqkOc4q9oUmW1yo/edit?usp=sharing"",""เชียงราย!J312"")"),0)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IFERROR(__xludf.DUMMYFUNCTION("IMPORTRANGE(""https://docs.google.com/spreadsheets/d/11923uPwbBZFjjGgGUA6NLw09EwE0CqkOc4q9oUmW1yo/edit?usp=sharing"",""เชียงราย!I313"")"),30)</f>
        <v>30</v>
      </c>
      <c r="J418" s="401">
        <f ca="1">IFERROR(__xludf.DUMMYFUNCTION("IMPORTRANGE(""https://docs.google.com/spreadsheets/d/11923uPwbBZFjjGgGUA6NLw09EwE0CqkOc4q9oUmW1yo/edit?usp=sharing"",""เชียงราย!J313"")"),0)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IFERROR(__xludf.DUMMYFUNCTION("IMPORTRANGE(""https://docs.google.com/spreadsheets/d/11923uPwbBZFjjGgGUA6NLw09EwE0CqkOc4q9oUmW1yo/edit?usp=sharing"",""เชียงราย!I314"")"),10)</f>
        <v>10</v>
      </c>
      <c r="J419" s="402">
        <f ca="1">IFERROR(__xludf.DUMMYFUNCTION("IMPORTRANGE(""https://docs.google.com/spreadsheets/d/11923uPwbBZFjjGgGUA6NLw09EwE0CqkOc4q9oUmW1yo/edit?usp=sharing"",""เชียงราย!J314"")"),0)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IFERROR(__xludf.DUMMYFUNCTION("IMPORTRANGE(""https://docs.google.com/spreadsheets/d/11923uPwbBZFjjGgGUA6NLw09EwE0CqkOc4q9oUmW1yo/edit?usp=sharing"",""เชียงราย!I315"")"),10)</f>
        <v>10</v>
      </c>
      <c r="J420" s="402">
        <f ca="1">IFERROR(__xludf.DUMMYFUNCTION("IMPORTRANGE(""https://docs.google.com/spreadsheets/d/11923uPwbBZFjjGgGUA6NLw09EwE0CqkOc4q9oUmW1yo/edit?usp=sharing"",""เชียงราย!J315"")"),0)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IFERROR(__xludf.DUMMYFUNCTION("IMPORTRANGE(""https://docs.google.com/spreadsheets/d/11923uPwbBZFjjGgGUA6NLw09EwE0CqkOc4q9oUmW1yo/edit?usp=sharing"",""เชียงราย!I316"")"),38)</f>
        <v>38</v>
      </c>
      <c r="J421" s="400">
        <f ca="1">IFERROR(__xludf.DUMMYFUNCTION("IMPORTRANGE(""https://docs.google.com/spreadsheets/d/11923uPwbBZFjjGgGUA6NLw09EwE0CqkOc4q9oUmW1yo/edit?usp=sharing"",""เชียงราย!J316"")"),0)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IFERROR(__xludf.DUMMYFUNCTION("IMPORTRANGE(""https://docs.google.com/spreadsheets/d/11923uPwbBZFjjGgGUA6NLw09EwE0CqkOc4q9oUmW1yo/edit?usp=sharing"",""เชียงราย!I317"")"),114)</f>
        <v>114</v>
      </c>
      <c r="J422" s="401">
        <f ca="1">IFERROR(__xludf.DUMMYFUNCTION("IMPORTRANGE(""https://docs.google.com/spreadsheets/d/11923uPwbBZFjjGgGUA6NLw09EwE0CqkOc4q9oUmW1yo/edit?usp=sharing"",""เชียงราย!J317"")"),0)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IFERROR(__xludf.DUMMYFUNCTION("IMPORTRANGE(""https://docs.google.com/spreadsheets/d/11923uPwbBZFjjGgGUA6NLw09EwE0CqkOc4q9oUmW1yo/edit?usp=sharing"",""เชียงราย!I318"")"),38)</f>
        <v>38</v>
      </c>
      <c r="J423" s="402">
        <f ca="1">IFERROR(__xludf.DUMMYFUNCTION("IMPORTRANGE(""https://docs.google.com/spreadsheets/d/11923uPwbBZFjjGgGUA6NLw09EwE0CqkOc4q9oUmW1yo/edit?usp=sharing"",""เชียงราย!J318"")"),0)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IFERROR(__xludf.DUMMYFUNCTION("IMPORTRANGE(""https://docs.google.com/spreadsheets/d/11923uPwbBZFjjGgGUA6NLw09EwE0CqkOc4q9oUmW1yo/edit?usp=sharing"",""เชียงราย!I319"")"),38)</f>
        <v>38</v>
      </c>
      <c r="J424" s="402">
        <f ca="1">IFERROR(__xludf.DUMMYFUNCTION("IMPORTRANGE(""https://docs.google.com/spreadsheets/d/11923uPwbBZFjjGgGUA6NLw09EwE0CqkOc4q9oUmW1yo/edit?usp=sharing"",""เชียงราย!J319"")"),0)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IFERROR(__xludf.DUMMYFUNCTION("IMPORTRANGE(""https://docs.google.com/spreadsheets/d/11923uPwbBZFjjGgGUA6NLw09EwE0CqkOc4q9oUmW1yo/edit?usp=sharing"",""เชียงราย!I320"")"),38)</f>
        <v>38</v>
      </c>
      <c r="J425" s="402">
        <f ca="1">IFERROR(__xludf.DUMMYFUNCTION("IMPORTRANGE(""https://docs.google.com/spreadsheets/d/11923uPwbBZFjjGgGUA6NLw09EwE0CqkOc4q9oUmW1yo/edit?usp=sharing"",""เชียงราย!J320"")"),0)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IFERROR(__xludf.DUMMYFUNCTION("IMPORTRANGE(""https://docs.google.com/spreadsheets/d/11923uPwbBZFjjGgGUA6NLw09EwE0CqkOc4q9oUmW1yo/edit?usp=sharing"",""เชียงราย!I321"")"),10)</f>
        <v>10</v>
      </c>
      <c r="J426" s="400">
        <f ca="1">IFERROR(__xludf.DUMMYFUNCTION("IMPORTRANGE(""https://docs.google.com/spreadsheets/d/11923uPwbBZFjjGgGUA6NLw09EwE0CqkOc4q9oUmW1yo/edit?usp=sharing"",""เชียงราย!J321"")"),0)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IFERROR(__xludf.DUMMYFUNCTION("IMPORTRANGE(""https://docs.google.com/spreadsheets/d/11923uPwbBZFjjGgGUA6NLw09EwE0CqkOc4q9oUmW1yo/edit?usp=sharing"",""เชียงราย!I322"")"),30)</f>
        <v>30</v>
      </c>
      <c r="J427" s="401">
        <f ca="1">IFERROR(__xludf.DUMMYFUNCTION("IMPORTRANGE(""https://docs.google.com/spreadsheets/d/11923uPwbBZFjjGgGUA6NLw09EwE0CqkOc4q9oUmW1yo/edit?usp=sharing"",""เชียงราย!J322"")"),0)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IFERROR(__xludf.DUMMYFUNCTION("IMPORTRANGE(""https://docs.google.com/spreadsheets/d/11923uPwbBZFjjGgGUA6NLw09EwE0CqkOc4q9oUmW1yo/edit?usp=sharing"",""เชียงราย!I323"")"),10)</f>
        <v>10</v>
      </c>
      <c r="J428" s="402">
        <f ca="1">IFERROR(__xludf.DUMMYFUNCTION("IMPORTRANGE(""https://docs.google.com/spreadsheets/d/11923uPwbBZFjjGgGUA6NLw09EwE0CqkOc4q9oUmW1yo/edit?usp=sharing"",""เชียงราย!J323"")"),0)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IFERROR(__xludf.DUMMYFUNCTION("IMPORTRANGE(""https://docs.google.com/spreadsheets/d/11923uPwbBZFjjGgGUA6NLw09EwE0CqkOc4q9oUmW1yo/edit?usp=sharing"",""เชียงราย!I324"")"),10)</f>
        <v>10</v>
      </c>
      <c r="J429" s="402">
        <f ca="1">IFERROR(__xludf.DUMMYFUNCTION("IMPORTRANGE(""https://docs.google.com/spreadsheets/d/11923uPwbBZFjjGgGUA6NLw09EwE0CqkOc4q9oUmW1yo/edit?usp=sharing"",""เชียงราย!J324"")"),0)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IFERROR(__xludf.DUMMYFUNCTION("IMPORTRANGE(""https://docs.google.com/spreadsheets/d/11923uPwbBZFjjGgGUA6NLw09EwE0CqkOc4q9oUmW1yo/edit?usp=sharing"",""เชียงราย!I325"")"),48)</f>
        <v>48</v>
      </c>
      <c r="J430" s="400">
        <f ca="1">IFERROR(__xludf.DUMMYFUNCTION("IMPORTRANGE(""https://docs.google.com/spreadsheets/d/11923uPwbBZFjjGgGUA6NLw09EwE0CqkOc4q9oUmW1yo/edit?usp=sharing"",""เชียงราย!J325"")"),0)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IFERROR(__xludf.DUMMYFUNCTION("IMPORTRANGE(""https://docs.google.com/spreadsheets/d/11923uPwbBZFjjGgGUA6NLw09EwE0CqkOc4q9oUmW1yo/edit?usp=sharing"",""เชียงราย!I326"")"),10)</f>
        <v>10</v>
      </c>
      <c r="J431" s="402">
        <f ca="1">IFERROR(__xludf.DUMMYFUNCTION("IMPORTRANGE(""https://docs.google.com/spreadsheets/d/11923uPwbBZFjjGgGUA6NLw09EwE0CqkOc4q9oUmW1yo/edit?usp=sharing"",""เชียงราย!J326"")"),0)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IFERROR(__xludf.DUMMYFUNCTION("IMPORTRANGE(""https://docs.google.com/spreadsheets/d/11923uPwbBZFjjGgGUA6NLw09EwE0CqkOc4q9oUmW1yo/edit?usp=sharing"",""เชียงราย!I327"")"),38)</f>
        <v>38</v>
      </c>
      <c r="J432" s="402">
        <f ca="1">IFERROR(__xludf.DUMMYFUNCTION("IMPORTRANGE(""https://docs.google.com/spreadsheets/d/11923uPwbBZFjjGgGUA6NLw09EwE0CqkOc4q9oUmW1yo/edit?usp=sharing"",""เชียงราย!J327"")"),0)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IFERROR(__xludf.DUMMYFUNCTION("IMPORTRANGE(""https://docs.google.com/spreadsheets/d/11923uPwbBZFjjGgGUA6NLw09EwE0CqkOc4q9oUmW1yo/edit?usp=sharing"",""เชียงราย!J328"")"),0)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IFERROR(__xludf.DUMMYFUNCTION("IMPORTRANGE(""https://docs.google.com/spreadsheets/d/11923uPwbBZFjjGgGUA6NLw09EwE0CqkOc4q9oUmW1yo/edit?usp=sharing"",""เชียงราย!J329"")"),0)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IFERROR(__xludf.DUMMYFUNCTION("IMPORTRANGE(""https://docs.google.com/spreadsheets/d/11923uPwbBZFjjGgGUA6NLw09EwE0CqkOc4q9oUmW1yo/edit?usp=sharing"",""เชียงราย!I330"")"),50)</f>
        <v>50</v>
      </c>
      <c r="J435" s="418">
        <f ca="1">IFERROR(__xludf.DUMMYFUNCTION("IMPORTRANGE(""https://docs.google.com/spreadsheets/d/11923uPwbBZFjjGgGUA6NLw09EwE0CqkOc4q9oUmW1yo/edit?usp=sharing"",""เชียงราย!J330"")"),10)</f>
        <v>10</v>
      </c>
      <c r="K435" s="419">
        <f ca="1">IF(I435&gt;0,J435*100/I435,0)</f>
        <v>20</v>
      </c>
      <c r="L435" s="420">
        <f ca="1">IFERROR(__xludf.DUMMYFUNCTION("IMPORTRANGE(""https://docs.google.com/spreadsheets/d/11923uPwbBZFjjGgGUA6NLw09EwE0CqkOc4q9oUmW1yo/edit?usp=sharing"",""เชียงราย!L330"")"),154800)</f>
        <v>154800</v>
      </c>
      <c r="M435" s="420"/>
      <c r="N435" s="420">
        <f ca="1">IFERROR(__xludf.DUMMYFUNCTION("IMPORTRANGE(""https://docs.google.com/spreadsheets/d/11923uPwbBZFjjGgGUA6NLw09EwE0CqkOc4q9oUmW1yo/edit?usp=sharing"",""เชียงราย!M330"")"),25387)</f>
        <v>25387</v>
      </c>
      <c r="O435" s="420">
        <f t="shared" ref="O435:O439" ca="1" si="114">+IF(L435&gt;0,N435*100/L435,0)</f>
        <v>16.399870801033593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IFERROR(__xludf.DUMMYFUNCTION("IMPORTRANGE(""https://docs.google.com/spreadsheets/d/11923uPwbBZFjjGgGUA6NLw09EwE0CqkOc4q9oUmW1yo/edit?usp=sharing"",""เชียงราย!L331"")"),0)</f>
        <v>0</v>
      </c>
      <c r="M436" s="172"/>
      <c r="N436" s="178">
        <f ca="1">IFERROR(__xludf.DUMMYFUNCTION("IMPORTRANGE(""https://docs.google.com/spreadsheets/d/11923uPwbBZFjjGgGUA6NLw09EwE0CqkOc4q9oUmW1yo/edit?usp=sharing"",""เชียงราย!M331"")"),0)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IFERROR(__xludf.DUMMYFUNCTION("IMPORTRANGE(""https://docs.google.com/spreadsheets/d/11923uPwbBZFjjGgGUA6NLw09EwE0CqkOc4q9oUmW1yo/edit?usp=sharing"",""เชียงราย!L332"")"),154800)</f>
        <v>154800</v>
      </c>
      <c r="M437" s="173"/>
      <c r="N437" s="178">
        <f ca="1">IFERROR(__xludf.DUMMYFUNCTION("IMPORTRANGE(""https://docs.google.com/spreadsheets/d/11923uPwbBZFjjGgGUA6NLw09EwE0CqkOc4q9oUmW1yo/edit?usp=sharing"",""เชียงราย!M332"")"),25387)</f>
        <v>25387</v>
      </c>
      <c r="O437" s="178">
        <f t="shared" ca="1" si="114"/>
        <v>16.399870801033593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IFERROR(__xludf.DUMMYFUNCTION("IMPORTRANGE(""https://docs.google.com/spreadsheets/d/11923uPwbBZFjjGgGUA6NLw09EwE0CqkOc4q9oUmW1yo/edit?usp=sharing"",""เชียงราย!L333"")"),0)</f>
        <v>0</v>
      </c>
      <c r="M438" s="178"/>
      <c r="N438" s="178">
        <f ca="1">IFERROR(__xludf.DUMMYFUNCTION("IMPORTRANGE(""https://docs.google.com/spreadsheets/d/11923uPwbBZFjjGgGUA6NLw09EwE0CqkOc4q9oUmW1yo/edit?usp=sharing"",""เชียงราย!M333"")"),0)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IFERROR(__xludf.DUMMYFUNCTION("IMPORTRANGE(""https://docs.google.com/spreadsheets/d/11923uPwbBZFjjGgGUA6NLw09EwE0CqkOc4q9oUmW1yo/edit?usp=sharing"",""เชียงราย!L334"")"),154800)</f>
        <v>154800</v>
      </c>
      <c r="M439" s="178"/>
      <c r="N439" s="178">
        <f ca="1">IFERROR(__xludf.DUMMYFUNCTION("IMPORTRANGE(""https://docs.google.com/spreadsheets/d/11923uPwbBZFjjGgGUA6NLw09EwE0CqkOc4q9oUmW1yo/edit?usp=sharing"",""เชียงราย!M334"")"),25387)</f>
        <v>25387</v>
      </c>
      <c r="O439" s="178">
        <f t="shared" ca="1" si="114"/>
        <v>16.399870801033593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IFERROR(__xludf.DUMMYFUNCTION("IMPORTRANGE(""https://docs.google.com/spreadsheets/d/11923uPwbBZFjjGgGUA6NLw09EwE0CqkOc4q9oUmW1yo/edit?usp=sharing"",""เชียงราย!M335"")"),23287)</f>
        <v>23287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IFERROR(__xludf.DUMMYFUNCTION("IMPORTRANGE(""https://docs.google.com/spreadsheets/d/11923uPwbBZFjjGgGUA6NLw09EwE0CqkOc4q9oUmW1yo/edit?usp=sharing"",""เชียงราย!M336"")"),0)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IFERROR(__xludf.DUMMYFUNCTION("IMPORTRANGE(""https://docs.google.com/spreadsheets/d/11923uPwbBZFjjGgGUA6NLw09EwE0CqkOc4q9oUmW1yo/edit?usp=sharing"",""เชียงราย!M337"")"),0)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IFERROR(__xludf.DUMMYFUNCTION("IMPORTRANGE(""https://docs.google.com/spreadsheets/d/11923uPwbBZFjjGgGUA6NLw09EwE0CqkOc4q9oUmW1yo/edit?usp=sharing"",""เชียงราย!M338"")"),2100)</f>
        <v>2100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IFERROR(__xludf.DUMMYFUNCTION("IMPORTRANGE(""https://docs.google.com/spreadsheets/d/11923uPwbBZFjjGgGUA6NLw09EwE0CqkOc4q9oUmW1yo/edit?usp=sharing"",""เชียงราย!J340"")"),0)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IFERROR(__xludf.DUMMYFUNCTION("IMPORTRANGE(""https://docs.google.com/spreadsheets/d/11923uPwbBZFjjGgGUA6NLw09EwE0CqkOc4q9oUmW1yo/edit?usp=sharing"",""เชียงราย!J341"")"),1)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IFERROR(__xludf.DUMMYFUNCTION("IMPORTRANGE(""https://docs.google.com/spreadsheets/d/11923uPwbBZFjjGgGUA6NLw09EwE0CqkOc4q9oUmW1yo/edit?usp=sharing"",""เชียงราย!J342"")"),1)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IFERROR(__xludf.DUMMYFUNCTION("IMPORTRANGE(""https://docs.google.com/spreadsheets/d/11923uPwbBZFjjGgGUA6NLw09EwE0CqkOc4q9oUmW1yo/edit?usp=sharing"",""เชียงราย!J343"")"),1)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IFERROR(__xludf.DUMMYFUNCTION("IMPORTRANGE(""https://docs.google.com/spreadsheets/d/11923uPwbBZFjjGgGUA6NLw09EwE0CqkOc4q9oUmW1yo/edit?usp=sharing"",""เชียงราย!I344"")"),50)</f>
        <v>50</v>
      </c>
      <c r="J449" s="210">
        <f ca="1">IFERROR(__xludf.DUMMYFUNCTION("IMPORTRANGE(""https://docs.google.com/spreadsheets/d/11923uPwbBZFjjGgGUA6NLw09EwE0CqkOc4q9oUmW1yo/edit?usp=sharing"",""เชียงราย!J344"")"),10)</f>
        <v>10</v>
      </c>
      <c r="K449" s="171">
        <f t="shared" ref="K449:K452" ca="1" si="115">IF(I449&gt;0,J449*100/I449,0)</f>
        <v>20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IFERROR(__xludf.DUMMYFUNCTION("IMPORTRANGE(""https://docs.google.com/spreadsheets/d/11923uPwbBZFjjGgGUA6NLw09EwE0CqkOc4q9oUmW1yo/edit?usp=sharing"",""เชียงราย!I345"")"),20)</f>
        <v>20</v>
      </c>
      <c r="J450" s="198">
        <f ca="1">IFERROR(__xludf.DUMMYFUNCTION("IMPORTRANGE(""https://docs.google.com/spreadsheets/d/11923uPwbBZFjjGgGUA6NLw09EwE0CqkOc4q9oUmW1yo/edit?usp=sharing"",""เชียงราย!J345"")"),10)</f>
        <v>10</v>
      </c>
      <c r="K450" s="171">
        <f t="shared" ca="1" si="115"/>
        <v>50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IFERROR(__xludf.DUMMYFUNCTION("IMPORTRANGE(""https://docs.google.com/spreadsheets/d/11923uPwbBZFjjGgGUA6NLw09EwE0CqkOc4q9oUmW1yo/edit?usp=sharing"",""เชียงราย!I346"")"),30)</f>
        <v>30</v>
      </c>
      <c r="J451" s="197">
        <f ca="1">IFERROR(__xludf.DUMMYFUNCTION("IMPORTRANGE(""https://docs.google.com/spreadsheets/d/11923uPwbBZFjjGgGUA6NLw09EwE0CqkOc4q9oUmW1yo/edit?usp=sharing"",""เชียงราย!J346"")"),0)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IFERROR(__xludf.DUMMYFUNCTION("IMPORTRANGE(""https://docs.google.com/spreadsheets/d/11923uPwbBZFjjGgGUA6NLw09EwE0CqkOc4q9oUmW1yo/edit?usp=sharing"",""เชียงราย!I347"")"),0)</f>
        <v>0</v>
      </c>
      <c r="J452" s="197">
        <f ca="1">IFERROR(__xludf.DUMMYFUNCTION("IMPORTRANGE(""https://docs.google.com/spreadsheets/d/11923uPwbBZFjjGgGUA6NLw09EwE0CqkOc4q9oUmW1yo/edit?usp=sharing"",""เชียงราย!J347"")"),0)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IFERROR(__xludf.DUMMYFUNCTION("IMPORTRANGE(""https://docs.google.com/spreadsheets/d/11923uPwbBZFjjGgGUA6NLw09EwE0CqkOc4q9oUmW1yo/edit?usp=sharing"",""เชียงราย!J348"")"),0)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IFERROR(__xludf.DUMMYFUNCTION("IMPORTRANGE(""https://docs.google.com/spreadsheets/d/11923uPwbBZFjjGgGUA6NLw09EwE0CqkOc4q9oUmW1yo/edit?usp=sharing"",""เชียงราย!J349"")"),0)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IFERROR(__xludf.DUMMYFUNCTION("IMPORTRANGE(""https://docs.google.com/spreadsheets/d/11923uPwbBZFjjGgGUA6NLw09EwE0CqkOc4q9oUmW1yo/edit?usp=sharing"",""เชียงราย!I350"")"),44814)</f>
        <v>44814</v>
      </c>
      <c r="J455" s="379">
        <f ca="1">IFERROR(__xludf.DUMMYFUNCTION("IMPORTRANGE(""https://docs.google.com/spreadsheets/d/11923uPwbBZFjjGgGUA6NLw09EwE0CqkOc4q9oUmW1yo/edit?usp=sharing"",""เชียงราย!J350"")"),0)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IFERROR(__xludf.DUMMYFUNCTION("IMPORTRANGE(""https://docs.google.com/spreadsheets/d/11923uPwbBZFjjGgGUA6NLw09EwE0CqkOc4q9oUmW1yo/edit?usp=sharing"",""เชียงราย!L350"")"),510553)</f>
        <v>510553</v>
      </c>
      <c r="M455" s="381"/>
      <c r="N455" s="381">
        <f ca="1">IFERROR(__xludf.DUMMYFUNCTION("IMPORTRANGE(""https://docs.google.com/spreadsheets/d/11923uPwbBZFjjGgGUA6NLw09EwE0CqkOc4q9oUmW1yo/edit?usp=sharing"",""เชียงราย!M350"")"),60040)</f>
        <v>60040</v>
      </c>
      <c r="O455" s="381">
        <f t="shared" ref="O455:O459" ca="1" si="116">+IF(L455&gt;0,N455*100/L455,0)</f>
        <v>11.759797709542399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IFERROR(__xludf.DUMMYFUNCTION("IMPORTRANGE(""https://docs.google.com/spreadsheets/d/11923uPwbBZFjjGgGUA6NLw09EwE0CqkOc4q9oUmW1yo/edit?usp=sharing"",""เชียงราย!L351"")"),0)</f>
        <v>0</v>
      </c>
      <c r="M456" s="172"/>
      <c r="N456" s="178">
        <f ca="1">IFERROR(__xludf.DUMMYFUNCTION("IMPORTRANGE(""https://docs.google.com/spreadsheets/d/11923uPwbBZFjjGgGUA6NLw09EwE0CqkOc4q9oUmW1yo/edit?usp=sharing"",""เชียงราย!M351"")"),0)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IFERROR(__xludf.DUMMYFUNCTION("IMPORTRANGE(""https://docs.google.com/spreadsheets/d/11923uPwbBZFjjGgGUA6NLw09EwE0CqkOc4q9oUmW1yo/edit?usp=sharing"",""เชียงราย!L352"")"),510553)</f>
        <v>510553</v>
      </c>
      <c r="M457" s="173"/>
      <c r="N457" s="178">
        <f ca="1">IFERROR(__xludf.DUMMYFUNCTION("IMPORTRANGE(""https://docs.google.com/spreadsheets/d/11923uPwbBZFjjGgGUA6NLw09EwE0CqkOc4q9oUmW1yo/edit?usp=sharing"",""เชียงราย!M352"")"),60040)</f>
        <v>60040</v>
      </c>
      <c r="O457" s="178">
        <f t="shared" ca="1" si="116"/>
        <v>11.759797709542399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IFERROR(__xludf.DUMMYFUNCTION("IMPORTRANGE(""https://docs.google.com/spreadsheets/d/11923uPwbBZFjjGgGUA6NLw09EwE0CqkOc4q9oUmW1yo/edit?usp=sharing"",""เชียงราย!L353"")"),0)</f>
        <v>0</v>
      </c>
      <c r="M458" s="178"/>
      <c r="N458" s="178">
        <f ca="1">IFERROR(__xludf.DUMMYFUNCTION("IMPORTRANGE(""https://docs.google.com/spreadsheets/d/11923uPwbBZFjjGgGUA6NLw09EwE0CqkOc4q9oUmW1yo/edit?usp=sharing"",""เชียงราย!M353"")"),0)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IFERROR(__xludf.DUMMYFUNCTION("IMPORTRANGE(""https://docs.google.com/spreadsheets/d/11923uPwbBZFjjGgGUA6NLw09EwE0CqkOc4q9oUmW1yo/edit?usp=sharing"",""เชียงราย!L354"")"),510553)</f>
        <v>510553</v>
      </c>
      <c r="M459" s="178"/>
      <c r="N459" s="178">
        <f ca="1">IFERROR(__xludf.DUMMYFUNCTION("IMPORTRANGE(""https://docs.google.com/spreadsheets/d/11923uPwbBZFjjGgGUA6NLw09EwE0CqkOc4q9oUmW1yo/edit?usp=sharing"",""เชียงราย!M354"")"),60040)</f>
        <v>60040</v>
      </c>
      <c r="O459" s="178">
        <f t="shared" ca="1" si="116"/>
        <v>11.759797709542399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IFERROR(__xludf.DUMMYFUNCTION("IMPORTRANGE(""https://docs.google.com/spreadsheets/d/11923uPwbBZFjjGgGUA6NLw09EwE0CqkOc4q9oUmW1yo/edit?usp=sharing"",""เชียงราย!M355"")"),0)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IFERROR(__xludf.DUMMYFUNCTION("IMPORTRANGE(""https://docs.google.com/spreadsheets/d/11923uPwbBZFjjGgGUA6NLw09EwE0CqkOc4q9oUmW1yo/edit?usp=sharing"",""เชียงราย!M356"")"),0)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IFERROR(__xludf.DUMMYFUNCTION("IMPORTRANGE(""https://docs.google.com/spreadsheets/d/11923uPwbBZFjjGgGUA6NLw09EwE0CqkOc4q9oUmW1yo/edit?usp=sharing"",""เชียงราย!M357"")"),31500)</f>
        <v>31500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IFERROR(__xludf.DUMMYFUNCTION("IMPORTRANGE(""https://docs.google.com/spreadsheets/d/11923uPwbBZFjjGgGUA6NLw09EwE0CqkOc4q9oUmW1yo/edit?usp=sharing"",""เชียงราย!M358"")"),28540)</f>
        <v>28540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IFERROR(__xludf.DUMMYFUNCTION("IMPORTRANGE(""https://docs.google.com/spreadsheets/d/11923uPwbBZFjjGgGUA6NLw09EwE0CqkOc4q9oUmW1yo/edit?usp=sharing"",""เชียงราย!I359"")"),44814)</f>
        <v>44814</v>
      </c>
      <c r="J464" s="276">
        <f ca="1">IFERROR(__xludf.DUMMYFUNCTION("IMPORTRANGE(""https://docs.google.com/spreadsheets/d/11923uPwbBZFjjGgGUA6NLw09EwE0CqkOc4q9oUmW1yo/edit?usp=sharing"",""เชียงราย!J359"")"),0)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IFERROR(__xludf.DUMMYFUNCTION("IMPORTRANGE(""https://docs.google.com/spreadsheets/d/11923uPwbBZFjjGgGUA6NLw09EwE0CqkOc4q9oUmW1yo/edit?usp=sharing"",""เชียงราย!I360"")"),44814)</f>
        <v>44814</v>
      </c>
      <c r="J465" s="428">
        <f ca="1">IFERROR(__xludf.DUMMYFUNCTION("IMPORTRANGE(""https://docs.google.com/spreadsheets/d/11923uPwbBZFjjGgGUA6NLw09EwE0CqkOc4q9oUmW1yo/edit?usp=sharing"",""เชียงราย!J360"")"),25757.74)</f>
        <v>25757.74</v>
      </c>
      <c r="K465" s="211">
        <f t="shared" ca="1" si="117"/>
        <v>57.476993796581425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IFERROR(__xludf.DUMMYFUNCTION("IMPORTRANGE(""https://docs.google.com/spreadsheets/d/11923uPwbBZFjjGgGUA6NLw09EwE0CqkOc4q9oUmW1yo/edit?usp=sharing"",""เชียงราย!I361"")"),9843)</f>
        <v>9843</v>
      </c>
      <c r="J466" s="428">
        <f ca="1">IFERROR(__xludf.DUMMYFUNCTION("IMPORTRANGE(""https://docs.google.com/spreadsheets/d/11923uPwbBZFjjGgGUA6NLw09EwE0CqkOc4q9oUmW1yo/edit?usp=sharing"",""เชียงราย!J361"")"),5909)</f>
        <v>5909</v>
      </c>
      <c r="K466" s="211">
        <f t="shared" ca="1" si="117"/>
        <v>60.032510413491821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IFERROR(__xludf.DUMMYFUNCTION("IMPORTRANGE(""https://docs.google.com/spreadsheets/d/11923uPwbBZFjjGgGUA6NLw09EwE0CqkOc4q9oUmW1yo/edit?usp=sharing"",""เชียงราย!I362"")"),0)</f>
        <v>0</v>
      </c>
      <c r="J467" s="198">
        <f ca="1">IFERROR(__xludf.DUMMYFUNCTION("IMPORTRANGE(""https://docs.google.com/spreadsheets/d/11923uPwbBZFjjGgGUA6NLw09EwE0CqkOc4q9oUmW1yo/edit?usp=sharing"",""เชียงราย!J362"")"),22512.74)</f>
        <v>22512.74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IFERROR(__xludf.DUMMYFUNCTION("IMPORTRANGE(""https://docs.google.com/spreadsheets/d/11923uPwbBZFjjGgGUA6NLw09EwE0CqkOc4q9oUmW1yo/edit?usp=sharing"",""เชียงราย!I363"")"),0)</f>
        <v>0</v>
      </c>
      <c r="J468" s="198">
        <f ca="1">IFERROR(__xludf.DUMMYFUNCTION("IMPORTRANGE(""https://docs.google.com/spreadsheets/d/11923uPwbBZFjjGgGUA6NLw09EwE0CqkOc4q9oUmW1yo/edit?usp=sharing"",""เชียงราย!J363"")"),5308)</f>
        <v>5308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IFERROR(__xludf.DUMMYFUNCTION("IMPORTRANGE(""https://docs.google.com/spreadsheets/d/11923uPwbBZFjjGgGUA6NLw09EwE0CqkOc4q9oUmW1yo/edit?usp=sharing"",""เชียงราย!I364"")"),0)</f>
        <v>0</v>
      </c>
      <c r="J469" s="198">
        <f ca="1">IFERROR(__xludf.DUMMYFUNCTION("IMPORTRANGE(""https://docs.google.com/spreadsheets/d/11923uPwbBZFjjGgGUA6NLw09EwE0CqkOc4q9oUmW1yo/edit?usp=sharing"",""เชียงราย!J364"")"),3080)</f>
        <v>3080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IFERROR(__xludf.DUMMYFUNCTION("IMPORTRANGE(""https://docs.google.com/spreadsheets/d/11923uPwbBZFjjGgGUA6NLw09EwE0CqkOc4q9oUmW1yo/edit?usp=sharing"",""เชียงราย!I365"")"),0)</f>
        <v>0</v>
      </c>
      <c r="J470" s="198">
        <f ca="1">IFERROR(__xludf.DUMMYFUNCTION("IMPORTRANGE(""https://docs.google.com/spreadsheets/d/11923uPwbBZFjjGgGUA6NLw09EwE0CqkOc4q9oUmW1yo/edit?usp=sharing"",""เชียงราย!J365"")"),556)</f>
        <v>556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IFERROR(__xludf.DUMMYFUNCTION("IMPORTRANGE(""https://docs.google.com/spreadsheets/d/11923uPwbBZFjjGgGUA6NLw09EwE0CqkOc4q9oUmW1yo/edit?usp=sharing"",""เชียงราย!I366"")"),0)</f>
        <v>0</v>
      </c>
      <c r="J471" s="198">
        <f ca="1">IFERROR(__xludf.DUMMYFUNCTION("IMPORTRANGE(""https://docs.google.com/spreadsheets/d/11923uPwbBZFjjGgGUA6NLw09EwE0CqkOc4q9oUmW1yo/edit?usp=sharing"",""เชียงราย!J366"")"),165)</f>
        <v>165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IFERROR(__xludf.DUMMYFUNCTION("IMPORTRANGE(""https://docs.google.com/spreadsheets/d/11923uPwbBZFjjGgGUA6NLw09EwE0CqkOc4q9oUmW1yo/edit?usp=sharing"",""เชียงราย!I367"")"),0)</f>
        <v>0</v>
      </c>
      <c r="J472" s="198">
        <f ca="1">IFERROR(__xludf.DUMMYFUNCTION("IMPORTRANGE(""https://docs.google.com/spreadsheets/d/11923uPwbBZFjjGgGUA6NLw09EwE0CqkOc4q9oUmW1yo/edit?usp=sharing"",""เชียงราย!J367"")"),45)</f>
        <v>45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IFERROR(__xludf.DUMMYFUNCTION("IMPORTRANGE(""https://docs.google.com/spreadsheets/d/11923uPwbBZFjjGgGUA6NLw09EwE0CqkOc4q9oUmW1yo/edit?usp=sharing"",""เชียงราย!I368"")"),44814)</f>
        <v>44814</v>
      </c>
      <c r="J473" s="428">
        <f ca="1">IFERROR(__xludf.DUMMYFUNCTION("IMPORTRANGE(""https://docs.google.com/spreadsheets/d/11923uPwbBZFjjGgGUA6NLw09EwE0CqkOc4q9oUmW1yo/edit?usp=sharing"",""เชียงราย!J368"")"),0)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IFERROR(__xludf.DUMMYFUNCTION("IMPORTRANGE(""https://docs.google.com/spreadsheets/d/11923uPwbBZFjjGgGUA6NLw09EwE0CqkOc4q9oUmW1yo/edit?usp=sharing"",""เชียงราย!I369"")"),9843)</f>
        <v>9843</v>
      </c>
      <c r="J474" s="428">
        <f ca="1">IFERROR(__xludf.DUMMYFUNCTION("IMPORTRANGE(""https://docs.google.com/spreadsheets/d/11923uPwbBZFjjGgGUA6NLw09EwE0CqkOc4q9oUmW1yo/edit?usp=sharing"",""เชียงราย!J369"")"),0)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IFERROR(__xludf.DUMMYFUNCTION("IMPORTRANGE(""https://docs.google.com/spreadsheets/d/11923uPwbBZFjjGgGUA6NLw09EwE0CqkOc4q9oUmW1yo/edit?usp=sharing"",""เชียงราย!I370"")"),0)</f>
        <v>0</v>
      </c>
      <c r="J475" s="198">
        <f ca="1">IFERROR(__xludf.DUMMYFUNCTION("IMPORTRANGE(""https://docs.google.com/spreadsheets/d/11923uPwbBZFjjGgGUA6NLw09EwE0CqkOc4q9oUmW1yo/edit?usp=sharing"",""เชียงราย!J370"")"),0)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IFERROR(__xludf.DUMMYFUNCTION("IMPORTRANGE(""https://docs.google.com/spreadsheets/d/11923uPwbBZFjjGgGUA6NLw09EwE0CqkOc4q9oUmW1yo/edit?usp=sharing"",""เชียงราย!I371"")"),0)</f>
        <v>0</v>
      </c>
      <c r="J476" s="198">
        <f ca="1">IFERROR(__xludf.DUMMYFUNCTION("IMPORTRANGE(""https://docs.google.com/spreadsheets/d/11923uPwbBZFjjGgGUA6NLw09EwE0CqkOc4q9oUmW1yo/edit?usp=sharing"",""เชียงราย!J371"")"),0)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IFERROR(__xludf.DUMMYFUNCTION("IMPORTRANGE(""https://docs.google.com/spreadsheets/d/11923uPwbBZFjjGgGUA6NLw09EwE0CqkOc4q9oUmW1yo/edit?usp=sharing"",""เชียงราย!I372"")"),0)</f>
        <v>0</v>
      </c>
      <c r="J477" s="198">
        <f ca="1">IFERROR(__xludf.DUMMYFUNCTION("IMPORTRANGE(""https://docs.google.com/spreadsheets/d/11923uPwbBZFjjGgGUA6NLw09EwE0CqkOc4q9oUmW1yo/edit?usp=sharing"",""เชียงราย!J372"")"),0)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IFERROR(__xludf.DUMMYFUNCTION("IMPORTRANGE(""https://docs.google.com/spreadsheets/d/11923uPwbBZFjjGgGUA6NLw09EwE0CqkOc4q9oUmW1yo/edit?usp=sharing"",""เชียงราย!I373"")"),0)</f>
        <v>0</v>
      </c>
      <c r="J478" s="198">
        <f ca="1">IFERROR(__xludf.DUMMYFUNCTION("IMPORTRANGE(""https://docs.google.com/spreadsheets/d/11923uPwbBZFjjGgGUA6NLw09EwE0CqkOc4q9oUmW1yo/edit?usp=sharing"",""เชียงราย!J373"")"),0)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IFERROR(__xludf.DUMMYFUNCTION("IMPORTRANGE(""https://docs.google.com/spreadsheets/d/11923uPwbBZFjjGgGUA6NLw09EwE0CqkOc4q9oUmW1yo/edit?usp=sharing"",""เชียงราย!I374"")"),0)</f>
        <v>0</v>
      </c>
      <c r="J479" s="198">
        <f ca="1">IFERROR(__xludf.DUMMYFUNCTION("IMPORTRANGE(""https://docs.google.com/spreadsheets/d/11923uPwbBZFjjGgGUA6NLw09EwE0CqkOc4q9oUmW1yo/edit?usp=sharing"",""เชียงราย!J374"")"),0)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IFERROR(__xludf.DUMMYFUNCTION("IMPORTRANGE(""https://docs.google.com/spreadsheets/d/11923uPwbBZFjjGgGUA6NLw09EwE0CqkOc4q9oUmW1yo/edit?usp=sharing"",""เชียงราย!I375"")"),0)</f>
        <v>0</v>
      </c>
      <c r="J480" s="198">
        <f ca="1">IFERROR(__xludf.DUMMYFUNCTION("IMPORTRANGE(""https://docs.google.com/spreadsheets/d/11923uPwbBZFjjGgGUA6NLw09EwE0CqkOc4q9oUmW1yo/edit?usp=sharing"",""เชียงราย!J375"")"),0)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IFERROR(__xludf.DUMMYFUNCTION("IMPORTRANGE(""https://docs.google.com/spreadsheets/d/11923uPwbBZFjjGgGUA6NLw09EwE0CqkOc4q9oUmW1yo/edit?usp=sharing"",""เชียงราย!I376"")"),44814)</f>
        <v>44814</v>
      </c>
      <c r="J481" s="428">
        <f ca="1">IFERROR(__xludf.DUMMYFUNCTION("IMPORTRANGE(""https://docs.google.com/spreadsheets/d/11923uPwbBZFjjGgGUA6NLw09EwE0CqkOc4q9oUmW1yo/edit?usp=sharing"",""เชียงราย!J376"")"),0)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IFERROR(__xludf.DUMMYFUNCTION("IMPORTRANGE(""https://docs.google.com/spreadsheets/d/11923uPwbBZFjjGgGUA6NLw09EwE0CqkOc4q9oUmW1yo/edit?usp=sharing"",""เชียงราย!I377"")"),9843)</f>
        <v>9843</v>
      </c>
      <c r="J482" s="428">
        <f ca="1">IFERROR(__xludf.DUMMYFUNCTION("IMPORTRANGE(""https://docs.google.com/spreadsheets/d/11923uPwbBZFjjGgGUA6NLw09EwE0CqkOc4q9oUmW1yo/edit?usp=sharing"",""เชียงราย!J377"")"),0)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IFERROR(__xludf.DUMMYFUNCTION("IMPORTRANGE(""https://docs.google.com/spreadsheets/d/11923uPwbBZFjjGgGUA6NLw09EwE0CqkOc4q9oUmW1yo/edit?usp=sharing"",""เชียงราย!I378"")"),0)</f>
        <v>0</v>
      </c>
      <c r="J483" s="198">
        <f ca="1">IFERROR(__xludf.DUMMYFUNCTION("IMPORTRANGE(""https://docs.google.com/spreadsheets/d/11923uPwbBZFjjGgGUA6NLw09EwE0CqkOc4q9oUmW1yo/edit?usp=sharing"",""เชียงราย!J378"")"),0)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IFERROR(__xludf.DUMMYFUNCTION("IMPORTRANGE(""https://docs.google.com/spreadsheets/d/11923uPwbBZFjjGgGUA6NLw09EwE0CqkOc4q9oUmW1yo/edit?usp=sharing"",""เชียงราย!I379"")"),0)</f>
        <v>0</v>
      </c>
      <c r="J484" s="198">
        <f ca="1">IFERROR(__xludf.DUMMYFUNCTION("IMPORTRANGE(""https://docs.google.com/spreadsheets/d/11923uPwbBZFjjGgGUA6NLw09EwE0CqkOc4q9oUmW1yo/edit?usp=sharing"",""เชียงราย!J379"")"),0)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IFERROR(__xludf.DUMMYFUNCTION("IMPORTRANGE(""https://docs.google.com/spreadsheets/d/11923uPwbBZFjjGgGUA6NLw09EwE0CqkOc4q9oUmW1yo/edit?usp=sharing"",""เชียงราย!I380"")"),0)</f>
        <v>0</v>
      </c>
      <c r="J485" s="198">
        <f ca="1">IFERROR(__xludf.DUMMYFUNCTION("IMPORTRANGE(""https://docs.google.com/spreadsheets/d/11923uPwbBZFjjGgGUA6NLw09EwE0CqkOc4q9oUmW1yo/edit?usp=sharing"",""เชียงราย!J380"")"),0)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IFERROR(__xludf.DUMMYFUNCTION("IMPORTRANGE(""https://docs.google.com/spreadsheets/d/11923uPwbBZFjjGgGUA6NLw09EwE0CqkOc4q9oUmW1yo/edit?usp=sharing"",""เชียงราย!I381"")"),0)</f>
        <v>0</v>
      </c>
      <c r="J486" s="198">
        <f ca="1">IFERROR(__xludf.DUMMYFUNCTION("IMPORTRANGE(""https://docs.google.com/spreadsheets/d/11923uPwbBZFjjGgGUA6NLw09EwE0CqkOc4q9oUmW1yo/edit?usp=sharing"",""เชียงราย!J381"")"),0)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IFERROR(__xludf.DUMMYFUNCTION("IMPORTRANGE(""https://docs.google.com/spreadsheets/d/11923uPwbBZFjjGgGUA6NLw09EwE0CqkOc4q9oUmW1yo/edit?usp=sharing"",""เชียงราย!I382"")"),0)</f>
        <v>0</v>
      </c>
      <c r="J487" s="428">
        <f ca="1">IFERROR(__xludf.DUMMYFUNCTION("IMPORTRANGE(""https://docs.google.com/spreadsheets/d/11923uPwbBZFjjGgGUA6NLw09EwE0CqkOc4q9oUmW1yo/edit?usp=sharing"",""เชียงราย!J382"")"),0)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IFERROR(__xludf.DUMMYFUNCTION("IMPORTRANGE(""https://docs.google.com/spreadsheets/d/11923uPwbBZFjjGgGUA6NLw09EwE0CqkOc4q9oUmW1yo/edit?usp=sharing"",""เชียงราย!I383"")"),0)</f>
        <v>0</v>
      </c>
      <c r="J488" s="428">
        <f ca="1">IFERROR(__xludf.DUMMYFUNCTION("IMPORTRANGE(""https://docs.google.com/spreadsheets/d/11923uPwbBZFjjGgGUA6NLw09EwE0CqkOc4q9oUmW1yo/edit?usp=sharing"",""เชียงราย!J383"")"),0)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IFERROR(__xludf.DUMMYFUNCTION("IMPORTRANGE(""https://docs.google.com/spreadsheets/d/11923uPwbBZFjjGgGUA6NLw09EwE0CqkOc4q9oUmW1yo/edit?usp=sharing"",""เชียงราย!I384"")"),0)</f>
        <v>0</v>
      </c>
      <c r="J489" s="198">
        <f ca="1">IFERROR(__xludf.DUMMYFUNCTION("IMPORTRANGE(""https://docs.google.com/spreadsheets/d/11923uPwbBZFjjGgGUA6NLw09EwE0CqkOc4q9oUmW1yo/edit?usp=sharing"",""เชียงราย!J384"")"),0)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IFERROR(__xludf.DUMMYFUNCTION("IMPORTRANGE(""https://docs.google.com/spreadsheets/d/11923uPwbBZFjjGgGUA6NLw09EwE0CqkOc4q9oUmW1yo/edit?usp=sharing"",""เชียงราย!I385"")"),0)</f>
        <v>0</v>
      </c>
      <c r="J490" s="198">
        <f ca="1">IFERROR(__xludf.DUMMYFUNCTION("IMPORTRANGE(""https://docs.google.com/spreadsheets/d/11923uPwbBZFjjGgGUA6NLw09EwE0CqkOc4q9oUmW1yo/edit?usp=sharing"",""เชียงราย!J385"")"),0)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IFERROR(__xludf.DUMMYFUNCTION("IMPORTRANGE(""https://docs.google.com/spreadsheets/d/11923uPwbBZFjjGgGUA6NLw09EwE0CqkOc4q9oUmW1yo/edit?usp=sharing"",""เชียงราย!I386"")"),0)</f>
        <v>0</v>
      </c>
      <c r="J491" s="198">
        <f ca="1">IFERROR(__xludf.DUMMYFUNCTION("IMPORTRANGE(""https://docs.google.com/spreadsheets/d/11923uPwbBZFjjGgGUA6NLw09EwE0CqkOc4q9oUmW1yo/edit?usp=sharing"",""เชียงราย!J386"")"),0)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IFERROR(__xludf.DUMMYFUNCTION("IMPORTRANGE(""https://docs.google.com/spreadsheets/d/11923uPwbBZFjjGgGUA6NLw09EwE0CqkOc4q9oUmW1yo/edit?usp=sharing"",""เชียงราย!I387"")"),0)</f>
        <v>0</v>
      </c>
      <c r="J492" s="198">
        <f ca="1">IFERROR(__xludf.DUMMYFUNCTION("IMPORTRANGE(""https://docs.google.com/spreadsheets/d/11923uPwbBZFjjGgGUA6NLw09EwE0CqkOc4q9oUmW1yo/edit?usp=sharing"",""เชียงราย!J387"")"),0)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IFERROR(__xludf.DUMMYFUNCTION("IMPORTRANGE(""https://docs.google.com/spreadsheets/d/11923uPwbBZFjjGgGUA6NLw09EwE0CqkOc4q9oUmW1yo/edit?usp=sharing"",""เชียงราย!I388"")"),0)</f>
        <v>0</v>
      </c>
      <c r="J493" s="198">
        <f ca="1">IFERROR(__xludf.DUMMYFUNCTION("IMPORTRANGE(""https://docs.google.com/spreadsheets/d/11923uPwbBZFjjGgGUA6NLw09EwE0CqkOc4q9oUmW1yo/edit?usp=sharing"",""เชียงราย!J388"")"),0)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IFERROR(__xludf.DUMMYFUNCTION("IMPORTRANGE(""https://docs.google.com/spreadsheets/d/11923uPwbBZFjjGgGUA6NLw09EwE0CqkOc4q9oUmW1yo/edit?usp=sharing"",""เชียงราย!I389"")"),0)</f>
        <v>0</v>
      </c>
      <c r="J494" s="444">
        <f ca="1">IFERROR(__xludf.DUMMYFUNCTION("IMPORTRANGE(""https://docs.google.com/spreadsheets/d/11923uPwbBZFjjGgGUA6NLw09EwE0CqkOc4q9oUmW1yo/edit?usp=sharing"",""เชียงราย!J389"")"),0)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IFERROR(__xludf.DUMMYFUNCTION("IMPORTRANGE(""https://docs.google.com/spreadsheets/d/11923uPwbBZFjjGgGUA6NLw09EwE0CqkOc4q9oUmW1yo/edit?usp=sharing"",""เชียงราย!I390"")"),0)</f>
        <v>0</v>
      </c>
      <c r="J495" s="444">
        <f ca="1">IFERROR(__xludf.DUMMYFUNCTION("IMPORTRANGE(""https://docs.google.com/spreadsheets/d/11923uPwbBZFjjGgGUA6NLw09EwE0CqkOc4q9oUmW1yo/edit?usp=sharing"",""เชียงราย!J390"")"),0)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IFERROR(__xludf.DUMMYFUNCTION("IMPORTRANGE(""https://docs.google.com/spreadsheets/d/11923uPwbBZFjjGgGUA6NLw09EwE0CqkOc4q9oUmW1yo/edit?usp=sharing"",""เชียงราย!I391"")"),0)</f>
        <v>0</v>
      </c>
      <c r="J496" s="444">
        <f ca="1">IFERROR(__xludf.DUMMYFUNCTION("IMPORTRANGE(""https://docs.google.com/spreadsheets/d/11923uPwbBZFjjGgGUA6NLw09EwE0CqkOc4q9oUmW1yo/edit?usp=sharing"",""เชียงราย!J391"")"),0)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IFERROR(__xludf.DUMMYFUNCTION("IMPORTRANGE(""https://docs.google.com/spreadsheets/d/11923uPwbBZFjjGgGUA6NLw09EwE0CqkOc4q9oUmW1yo/edit?usp=sharing"",""เชียงราย!I392"")"),31)</f>
        <v>31</v>
      </c>
      <c r="J497" s="451">
        <f ca="1">IFERROR(__xludf.DUMMYFUNCTION("IMPORTRANGE(""https://docs.google.com/spreadsheets/d/11923uPwbBZFjjGgGUA6NLw09EwE0CqkOc4q9oUmW1yo/edit?usp=sharing"",""เชียงราย!J392"")"),460)</f>
        <v>460</v>
      </c>
      <c r="K497" s="452">
        <f t="shared" ca="1" si="117"/>
        <v>1483.8709677419354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IFERROR(__xludf.DUMMYFUNCTION("IMPORTRANGE(""https://docs.google.com/spreadsheets/d/11923uPwbBZFjjGgGUA6NLw09EwE0CqkOc4q9oUmW1yo/edit?usp=sharing"",""เชียงราย!I393"")"),31)</f>
        <v>31</v>
      </c>
      <c r="J498" s="428">
        <f ca="1">IFERROR(__xludf.DUMMYFUNCTION("IMPORTRANGE(""https://docs.google.com/spreadsheets/d/11923uPwbBZFjjGgGUA6NLw09EwE0CqkOc4q9oUmW1yo/edit?usp=sharing"",""เชียงราย!J393"")"),460)</f>
        <v>460</v>
      </c>
      <c r="K498" s="171">
        <f t="shared" ca="1" si="117"/>
        <v>1483.8709677419354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IFERROR(__xludf.DUMMYFUNCTION("IMPORTRANGE(""https://docs.google.com/spreadsheets/d/11923uPwbBZFjjGgGUA6NLw09EwE0CqkOc4q9oUmW1yo/edit?usp=sharing"",""เชียงราย!I394"")"),6)</f>
        <v>6</v>
      </c>
      <c r="J499" s="428">
        <f ca="1">IFERROR(__xludf.DUMMYFUNCTION("IMPORTRANGE(""https://docs.google.com/spreadsheets/d/11923uPwbBZFjjGgGUA6NLw09EwE0CqkOc4q9oUmW1yo/edit?usp=sharing"",""เชียงราย!J394"")"),58)</f>
        <v>58</v>
      </c>
      <c r="K499" s="211">
        <f t="shared" ca="1" si="117"/>
        <v>966.66666666666663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IFERROR(__xludf.DUMMYFUNCTION("IMPORTRANGE(""https://docs.google.com/spreadsheets/d/11923uPwbBZFjjGgGUA6NLw09EwE0CqkOc4q9oUmW1yo/edit?usp=sharing"",""เชียงราย!I395"")"),0)</f>
        <v>0</v>
      </c>
      <c r="J500" s="170">
        <f ca="1">IFERROR(__xludf.DUMMYFUNCTION("IMPORTRANGE(""https://docs.google.com/spreadsheets/d/11923uPwbBZFjjGgGUA6NLw09EwE0CqkOc4q9oUmW1yo/edit?usp=sharing"",""เชียงราย!J395"")"),426)</f>
        <v>426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IFERROR(__xludf.DUMMYFUNCTION("IMPORTRANGE(""https://docs.google.com/spreadsheets/d/11923uPwbBZFjjGgGUA6NLw09EwE0CqkOc4q9oUmW1yo/edit?usp=sharing"",""เชียงราย!I396"")"),0)</f>
        <v>0</v>
      </c>
      <c r="J501" s="170">
        <f ca="1">IFERROR(__xludf.DUMMYFUNCTION("IMPORTRANGE(""https://docs.google.com/spreadsheets/d/11923uPwbBZFjjGgGUA6NLw09EwE0CqkOc4q9oUmW1yo/edit?usp=sharing"",""เชียงราย!J396"")"),52)</f>
        <v>52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IFERROR(__xludf.DUMMYFUNCTION("IMPORTRANGE(""https://docs.google.com/spreadsheets/d/11923uPwbBZFjjGgGUA6NLw09EwE0CqkOc4q9oUmW1yo/edit?usp=sharing"",""เชียงราย!I397"")"),0)</f>
        <v>0</v>
      </c>
      <c r="J502" s="198">
        <f ca="1">IFERROR(__xludf.DUMMYFUNCTION("IMPORTRANGE(""https://docs.google.com/spreadsheets/d/11923uPwbBZFjjGgGUA6NLw09EwE0CqkOc4q9oUmW1yo/edit?usp=sharing"",""เชียงราย!J397"")"),426)</f>
        <v>426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IFERROR(__xludf.DUMMYFUNCTION("IMPORTRANGE(""https://docs.google.com/spreadsheets/d/11923uPwbBZFjjGgGUA6NLw09EwE0CqkOc4q9oUmW1yo/edit?usp=sharing"",""เชียงราย!I398"")"),0)</f>
        <v>0</v>
      </c>
      <c r="J503" s="207">
        <f ca="1">IFERROR(__xludf.DUMMYFUNCTION("IMPORTRANGE(""https://docs.google.com/spreadsheets/d/11923uPwbBZFjjGgGUA6NLw09EwE0CqkOc4q9oUmW1yo/edit?usp=sharing"",""เชียงราย!J398"")"),52)</f>
        <v>52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IFERROR(__xludf.DUMMYFUNCTION("IMPORTRANGE(""https://docs.google.com/spreadsheets/d/11923uPwbBZFjjGgGUA6NLw09EwE0CqkOc4q9oUmW1yo/edit?usp=sharing"",""เชียงราย!I399"")"),0)</f>
        <v>0</v>
      </c>
      <c r="J504" s="198">
        <f ca="1">IFERROR(__xludf.DUMMYFUNCTION("IMPORTRANGE(""https://docs.google.com/spreadsheets/d/11923uPwbBZFjjGgGUA6NLw09EwE0CqkOc4q9oUmW1yo/edit?usp=sharing"",""เชียงราย!J399"")"),0)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IFERROR(__xludf.DUMMYFUNCTION("IMPORTRANGE(""https://docs.google.com/spreadsheets/d/11923uPwbBZFjjGgGUA6NLw09EwE0CqkOc4q9oUmW1yo/edit?usp=sharing"",""เชียงราย!I400"")"),0)</f>
        <v>0</v>
      </c>
      <c r="J505" s="207">
        <f ca="1">IFERROR(__xludf.DUMMYFUNCTION("IMPORTRANGE(""https://docs.google.com/spreadsheets/d/11923uPwbBZFjjGgGUA6NLw09EwE0CqkOc4q9oUmW1yo/edit?usp=sharing"",""เชียงราย!J400"")"),0)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IFERROR(__xludf.DUMMYFUNCTION("IMPORTRANGE(""https://docs.google.com/spreadsheets/d/11923uPwbBZFjjGgGUA6NLw09EwE0CqkOc4q9oUmW1yo/edit?usp=sharing"",""เชียงราย!I401"")"),0)</f>
        <v>0</v>
      </c>
      <c r="J506" s="198">
        <f ca="1">IFERROR(__xludf.DUMMYFUNCTION("IMPORTRANGE(""https://docs.google.com/spreadsheets/d/11923uPwbBZFjjGgGUA6NLw09EwE0CqkOc4q9oUmW1yo/edit?usp=sharing"",""เชียงราย!J401"")"),0)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IFERROR(__xludf.DUMMYFUNCTION("IMPORTRANGE(""https://docs.google.com/spreadsheets/d/11923uPwbBZFjjGgGUA6NLw09EwE0CqkOc4q9oUmW1yo/edit?usp=sharing"",""เชียงราย!I402"")"),0)</f>
        <v>0</v>
      </c>
      <c r="J507" s="207">
        <f ca="1">IFERROR(__xludf.DUMMYFUNCTION("IMPORTRANGE(""https://docs.google.com/spreadsheets/d/11923uPwbBZFjjGgGUA6NLw09EwE0CqkOc4q9oUmW1yo/edit?usp=sharing"",""เชียงราย!J402"")"),0)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IFERROR(__xludf.DUMMYFUNCTION("IMPORTRANGE(""https://docs.google.com/spreadsheets/d/11923uPwbBZFjjGgGUA6NLw09EwE0CqkOc4q9oUmW1yo/edit?usp=sharing"",""เชียงราย!I403"")"),0)</f>
        <v>0</v>
      </c>
      <c r="J508" s="170">
        <f ca="1">IFERROR(__xludf.DUMMYFUNCTION("IMPORTRANGE(""https://docs.google.com/spreadsheets/d/11923uPwbBZFjjGgGUA6NLw09EwE0CqkOc4q9oUmW1yo/edit?usp=sharing"",""เชียงราย!J403"")"),34)</f>
        <v>34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IFERROR(__xludf.DUMMYFUNCTION("IMPORTRANGE(""https://docs.google.com/spreadsheets/d/11923uPwbBZFjjGgGUA6NLw09EwE0CqkOc4q9oUmW1yo/edit?usp=sharing"",""เชียงราย!I404"")"),0)</f>
        <v>0</v>
      </c>
      <c r="J509" s="170">
        <f ca="1">IFERROR(__xludf.DUMMYFUNCTION("IMPORTRANGE(""https://docs.google.com/spreadsheets/d/11923uPwbBZFjjGgGUA6NLw09EwE0CqkOc4q9oUmW1yo/edit?usp=sharing"",""เชียงราย!J404"")"),6)</f>
        <v>6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IFERROR(__xludf.DUMMYFUNCTION("IMPORTRANGE(""https://docs.google.com/spreadsheets/d/11923uPwbBZFjjGgGUA6NLw09EwE0CqkOc4q9oUmW1yo/edit?usp=sharing"",""เชียงราย!I405"")"),0)</f>
        <v>0</v>
      </c>
      <c r="J510" s="207">
        <f ca="1">IFERROR(__xludf.DUMMYFUNCTION("IMPORTRANGE(""https://docs.google.com/spreadsheets/d/11923uPwbBZFjjGgGUA6NLw09EwE0CqkOc4q9oUmW1yo/edit?usp=sharing"",""เชียงราย!J405"")"),34)</f>
        <v>34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IFERROR(__xludf.DUMMYFUNCTION("IMPORTRANGE(""https://docs.google.com/spreadsheets/d/11923uPwbBZFjjGgGUA6NLw09EwE0CqkOc4q9oUmW1yo/edit?usp=sharing"",""เชียงราย!I406"")"),0)</f>
        <v>0</v>
      </c>
      <c r="J511" s="207">
        <f ca="1">IFERROR(__xludf.DUMMYFUNCTION("IMPORTRANGE(""https://docs.google.com/spreadsheets/d/11923uPwbBZFjjGgGUA6NLw09EwE0CqkOc4q9oUmW1yo/edit?usp=sharing"",""เชียงราย!J406"")"),6)</f>
        <v>6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IFERROR(__xludf.DUMMYFUNCTION("IMPORTRANGE(""https://docs.google.com/spreadsheets/d/11923uPwbBZFjjGgGUA6NLw09EwE0CqkOc4q9oUmW1yo/edit?usp=sharing"",""เชียงราย!I407"")"),0)</f>
        <v>0</v>
      </c>
      <c r="J512" s="207">
        <f ca="1">IFERROR(__xludf.DUMMYFUNCTION("IMPORTRANGE(""https://docs.google.com/spreadsheets/d/11923uPwbBZFjjGgGUA6NLw09EwE0CqkOc4q9oUmW1yo/edit?usp=sharing"",""เชียงราย!J407"")"),0)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IFERROR(__xludf.DUMMYFUNCTION("IMPORTRANGE(""https://docs.google.com/spreadsheets/d/11923uPwbBZFjjGgGUA6NLw09EwE0CqkOc4q9oUmW1yo/edit?usp=sharing"",""เชียงราย!I408"")"),0)</f>
        <v>0</v>
      </c>
      <c r="J513" s="207">
        <f ca="1">IFERROR(__xludf.DUMMYFUNCTION("IMPORTRANGE(""https://docs.google.com/spreadsheets/d/11923uPwbBZFjjGgGUA6NLw09EwE0CqkOc4q9oUmW1yo/edit?usp=sharing"",""เชียงราย!J408"")"),0)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IFERROR(__xludf.DUMMYFUNCTION("IMPORTRANGE(""https://docs.google.com/spreadsheets/d/11923uPwbBZFjjGgGUA6NLw09EwE0CqkOc4q9oUmW1yo/edit?usp=sharing"",""เชียงราย!I409"")"),0)</f>
        <v>0</v>
      </c>
      <c r="J514" s="207">
        <f ca="1">IFERROR(__xludf.DUMMYFUNCTION("IMPORTRANGE(""https://docs.google.com/spreadsheets/d/11923uPwbBZFjjGgGUA6NLw09EwE0CqkOc4q9oUmW1yo/edit?usp=sharing"",""เชียงราย!J409"")"),0)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IFERROR(__xludf.DUMMYFUNCTION("IMPORTRANGE(""https://docs.google.com/spreadsheets/d/11923uPwbBZFjjGgGUA6NLw09EwE0CqkOc4q9oUmW1yo/edit?usp=sharing"",""เชียงราย!I410"")"),0)</f>
        <v>0</v>
      </c>
      <c r="J515" s="207">
        <f ca="1">IFERROR(__xludf.DUMMYFUNCTION("IMPORTRANGE(""https://docs.google.com/spreadsheets/d/11923uPwbBZFjjGgGUA6NLw09EwE0CqkOc4q9oUmW1yo/edit?usp=sharing"",""เชียงราย!J410"")"),0)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IFERROR(__xludf.DUMMYFUNCTION("IMPORTRANGE(""https://docs.google.com/spreadsheets/d/11923uPwbBZFjjGgGUA6NLw09EwE0CqkOc4q9oUmW1yo/edit?usp=sharing"",""เชียงราย!I411"")"),0)</f>
        <v>0</v>
      </c>
      <c r="J516" s="276">
        <f ca="1">IFERROR(__xludf.DUMMYFUNCTION("IMPORTRANGE(""https://docs.google.com/spreadsheets/d/11923uPwbBZFjjGgGUA6NLw09EwE0CqkOc4q9oUmW1yo/edit?usp=sharing"",""เชียงราย!J411"")"),0)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IFERROR(__xludf.DUMMYFUNCTION("IMPORTRANGE(""https://docs.google.com/spreadsheets/d/11923uPwbBZFjjGgGUA6NLw09EwE0CqkOc4q9oUmW1yo/edit?usp=sharing"",""เชียงราย!I412"")"),0)</f>
        <v>0</v>
      </c>
      <c r="J517" s="292">
        <f ca="1">IFERROR(__xludf.DUMMYFUNCTION("IMPORTRANGE(""https://docs.google.com/spreadsheets/d/11923uPwbBZFjjGgGUA6NLw09EwE0CqkOc4q9oUmW1yo/edit?usp=sharing"",""เชียงราย!J412"")"),0)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IFERROR(__xludf.DUMMYFUNCTION("IMPORTRANGE(""https://docs.google.com/spreadsheets/d/11923uPwbBZFjjGgGUA6NLw09EwE0CqkOc4q9oUmW1yo/edit?usp=sharing"",""เชียงราย!I413"")"),0)</f>
        <v>0</v>
      </c>
      <c r="J518" s="292">
        <f ca="1">IFERROR(__xludf.DUMMYFUNCTION("IMPORTRANGE(""https://docs.google.com/spreadsheets/d/11923uPwbBZFjjGgGUA6NLw09EwE0CqkOc4q9oUmW1yo/edit?usp=sharing"",""เชียงราย!J413"")"),0)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IFERROR(__xludf.DUMMYFUNCTION("IMPORTRANGE(""https://docs.google.com/spreadsheets/d/11923uPwbBZFjjGgGUA6NLw09EwE0CqkOc4q9oUmW1yo/edit?usp=sharing"",""เชียงราย!I414"")"),0)</f>
        <v>0</v>
      </c>
      <c r="J519" s="197">
        <f ca="1">IFERROR(__xludf.DUMMYFUNCTION("IMPORTRANGE(""https://docs.google.com/spreadsheets/d/11923uPwbBZFjjGgGUA6NLw09EwE0CqkOc4q9oUmW1yo/edit?usp=sharing"",""เชียงราย!J414"")"),0)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IFERROR(__xludf.DUMMYFUNCTION("IMPORTRANGE(""https://docs.google.com/spreadsheets/d/11923uPwbBZFjjGgGUA6NLw09EwE0CqkOc4q9oUmW1yo/edit?usp=sharing"",""เชียงราย!I415"")"),0)</f>
        <v>0</v>
      </c>
      <c r="J520" s="197">
        <f ca="1">IFERROR(__xludf.DUMMYFUNCTION("IMPORTRANGE(""https://docs.google.com/spreadsheets/d/11923uPwbBZFjjGgGUA6NLw09EwE0CqkOc4q9oUmW1yo/edit?usp=sharing"",""เชียงราย!J415"")"),0)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IFERROR(__xludf.DUMMYFUNCTION("IMPORTRANGE(""https://docs.google.com/spreadsheets/d/11923uPwbBZFjjGgGUA6NLw09EwE0CqkOc4q9oUmW1yo/edit?usp=sharing"",""เชียงราย!I416"")"),0)</f>
        <v>0</v>
      </c>
      <c r="J521" s="197">
        <f ca="1">IFERROR(__xludf.DUMMYFUNCTION("IMPORTRANGE(""https://docs.google.com/spreadsheets/d/11923uPwbBZFjjGgGUA6NLw09EwE0CqkOc4q9oUmW1yo/edit?usp=sharing"",""เชียงราย!J416"")"),0)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IFERROR(__xludf.DUMMYFUNCTION("IMPORTRANGE(""https://docs.google.com/spreadsheets/d/11923uPwbBZFjjGgGUA6NLw09EwE0CqkOc4q9oUmW1yo/edit?usp=sharing"",""เชียงราย!I417"")"),0)</f>
        <v>0</v>
      </c>
      <c r="J522" s="197">
        <f ca="1">IFERROR(__xludf.DUMMYFUNCTION("IMPORTRANGE(""https://docs.google.com/spreadsheets/d/11923uPwbBZFjjGgGUA6NLw09EwE0CqkOc4q9oUmW1yo/edit?usp=sharing"",""เชียงราย!J417"")"),0)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IFERROR(__xludf.DUMMYFUNCTION("IMPORTRANGE(""https://docs.google.com/spreadsheets/d/11923uPwbBZFjjGgGUA6NLw09EwE0CqkOc4q9oUmW1yo/edit?usp=sharing"",""เชียงราย!I418"")"),0)</f>
        <v>0</v>
      </c>
      <c r="J523" s="197">
        <f ca="1">IFERROR(__xludf.DUMMYFUNCTION("IMPORTRANGE(""https://docs.google.com/spreadsheets/d/11923uPwbBZFjjGgGUA6NLw09EwE0CqkOc4q9oUmW1yo/edit?usp=sharing"",""เชียงราย!J418"")"),0)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IFERROR(__xludf.DUMMYFUNCTION("IMPORTRANGE(""https://docs.google.com/spreadsheets/d/11923uPwbBZFjjGgGUA6NLw09EwE0CqkOc4q9oUmW1yo/edit?usp=sharing"",""เชียงราย!I419"")"),0)</f>
        <v>0</v>
      </c>
      <c r="J524" s="197">
        <f ca="1">IFERROR(__xludf.DUMMYFUNCTION("IMPORTRANGE(""https://docs.google.com/spreadsheets/d/11923uPwbBZFjjGgGUA6NLw09EwE0CqkOc4q9oUmW1yo/edit?usp=sharing"",""เชียงราย!J419"")"),0)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IFERROR(__xludf.DUMMYFUNCTION("IMPORTRANGE(""https://docs.google.com/spreadsheets/d/11923uPwbBZFjjGgGUA6NLw09EwE0CqkOc4q9oUmW1yo/edit?usp=sharing"",""เชียงราย!I420"")"),0)</f>
        <v>0</v>
      </c>
      <c r="J525" s="292">
        <f ca="1">IFERROR(__xludf.DUMMYFUNCTION("IMPORTRANGE(""https://docs.google.com/spreadsheets/d/11923uPwbBZFjjGgGUA6NLw09EwE0CqkOc4q9oUmW1yo/edit?usp=sharing"",""เชียงราย!J420"")"),0)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IFERROR(__xludf.DUMMYFUNCTION("IMPORTRANGE(""https://docs.google.com/spreadsheets/d/11923uPwbBZFjjGgGUA6NLw09EwE0CqkOc4q9oUmW1yo/edit?usp=sharing"",""เชียงราย!I421"")"),0)</f>
        <v>0</v>
      </c>
      <c r="J526" s="292">
        <f ca="1">IFERROR(__xludf.DUMMYFUNCTION("IMPORTRANGE(""https://docs.google.com/spreadsheets/d/11923uPwbBZFjjGgGUA6NLw09EwE0CqkOc4q9oUmW1yo/edit?usp=sharing"",""เชียงราย!J421"")"),0)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IFERROR(__xludf.DUMMYFUNCTION("IMPORTRANGE(""https://docs.google.com/spreadsheets/d/11923uPwbBZFjjGgGUA6NLw09EwE0CqkOc4q9oUmW1yo/edit?usp=sharing"",""เชียงราย!I422"")"),0)</f>
        <v>0</v>
      </c>
      <c r="J527" s="207">
        <f ca="1">IFERROR(__xludf.DUMMYFUNCTION("IMPORTRANGE(""https://docs.google.com/spreadsheets/d/11923uPwbBZFjjGgGUA6NLw09EwE0CqkOc4q9oUmW1yo/edit?usp=sharing"",""เชียงราย!J422"")"),0)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IFERROR(__xludf.DUMMYFUNCTION("IMPORTRANGE(""https://docs.google.com/spreadsheets/d/11923uPwbBZFjjGgGUA6NLw09EwE0CqkOc4q9oUmW1yo/edit?usp=sharing"",""เชียงราย!I423"")"),0)</f>
        <v>0</v>
      </c>
      <c r="J528" s="207">
        <f ca="1">IFERROR(__xludf.DUMMYFUNCTION("IMPORTRANGE(""https://docs.google.com/spreadsheets/d/11923uPwbBZFjjGgGUA6NLw09EwE0CqkOc4q9oUmW1yo/edit?usp=sharing"",""เชียงราย!J423"")"),0)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IFERROR(__xludf.DUMMYFUNCTION("IMPORTRANGE(""https://docs.google.com/spreadsheets/d/11923uPwbBZFjjGgGUA6NLw09EwE0CqkOc4q9oUmW1yo/edit?usp=sharing"",""เชียงราย!I424"")"),0)</f>
        <v>0</v>
      </c>
      <c r="J529" s="207">
        <f ca="1">IFERROR(__xludf.DUMMYFUNCTION("IMPORTRANGE(""https://docs.google.com/spreadsheets/d/11923uPwbBZFjjGgGUA6NLw09EwE0CqkOc4q9oUmW1yo/edit?usp=sharing"",""เชียงราย!J424"")"),0)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IFERROR(__xludf.DUMMYFUNCTION("IMPORTRANGE(""https://docs.google.com/spreadsheets/d/11923uPwbBZFjjGgGUA6NLw09EwE0CqkOc4q9oUmW1yo/edit?usp=sharing"",""เชียงราย!I425"")"),0)</f>
        <v>0</v>
      </c>
      <c r="J530" s="207">
        <f ca="1">IFERROR(__xludf.DUMMYFUNCTION("IMPORTRANGE(""https://docs.google.com/spreadsheets/d/11923uPwbBZFjjGgGUA6NLw09EwE0CqkOc4q9oUmW1yo/edit?usp=sharing"",""เชียงราย!J425"")"),0)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IFERROR(__xludf.DUMMYFUNCTION("IMPORTRANGE(""https://docs.google.com/spreadsheets/d/11923uPwbBZFjjGgGUA6NLw09EwE0CqkOc4q9oUmW1yo/edit?usp=sharing"",""เชียงราย!I426"")"),0)</f>
        <v>0</v>
      </c>
      <c r="J531" s="207">
        <f ca="1">IFERROR(__xludf.DUMMYFUNCTION("IMPORTRANGE(""https://docs.google.com/spreadsheets/d/11923uPwbBZFjjGgGUA6NLw09EwE0CqkOc4q9oUmW1yo/edit?usp=sharing"",""เชียงราย!J426"")"),0)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IFERROR(__xludf.DUMMYFUNCTION("IMPORTRANGE(""https://docs.google.com/spreadsheets/d/11923uPwbBZFjjGgGUA6NLw09EwE0CqkOc4q9oUmW1yo/edit?usp=sharing"",""เชียงราย!I427"")"),0)</f>
        <v>0</v>
      </c>
      <c r="J532" s="474">
        <f ca="1">IFERROR(__xludf.DUMMYFUNCTION("IMPORTRANGE(""https://docs.google.com/spreadsheets/d/11923uPwbBZFjjGgGUA6NLw09EwE0CqkOc4q9oUmW1yo/edit?usp=sharing"",""เชียงราย!J427"")"),0)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IFERROR(__xludf.DUMMYFUNCTION("IMPORTRANGE(""https://docs.google.com/spreadsheets/d/11923uPwbBZFjjGgGUA6NLw09EwE0CqkOc4q9oUmW1yo/edit?usp=sharing"",""เชียงราย!I428"")"),30)</f>
        <v>30</v>
      </c>
      <c r="J533" s="418">
        <f ca="1">IFERROR(__xludf.DUMMYFUNCTION("IMPORTRANGE(""https://docs.google.com/spreadsheets/d/11923uPwbBZFjjGgGUA6NLw09EwE0CqkOc4q9oUmW1yo/edit?usp=sharing"",""เชียงราย!J428"")"),30)</f>
        <v>30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IFERROR(__xludf.DUMMYFUNCTION("IMPORTRANGE(""https://docs.google.com/spreadsheets/d/11923uPwbBZFjjGgGUA6NLw09EwE0CqkOc4q9oUmW1yo/edit?usp=sharing"",""เชียงราย!L428"")"),41150)</f>
        <v>41150</v>
      </c>
      <c r="M533" s="420"/>
      <c r="N533" s="420">
        <f ca="1">IFERROR(__xludf.DUMMYFUNCTION("IMPORTRANGE(""https://docs.google.com/spreadsheets/d/11923uPwbBZFjjGgGUA6NLw09EwE0CqkOc4q9oUmW1yo/edit?usp=sharing"",""เชียงราย!M428"")"),31793)</f>
        <v>31793</v>
      </c>
      <c r="O533" s="420">
        <f t="shared" ref="O533:O537" ca="1" si="118">+IF(L533&gt;0,N533*100/L533,0)</f>
        <v>77.261239368165249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IFERROR(__xludf.DUMMYFUNCTION("IMPORTRANGE(""https://docs.google.com/spreadsheets/d/11923uPwbBZFjjGgGUA6NLw09EwE0CqkOc4q9oUmW1yo/edit?usp=sharing"",""เชียงราย!L429"")"),0)</f>
        <v>0</v>
      </c>
      <c r="M534" s="172"/>
      <c r="N534" s="178">
        <f ca="1">IFERROR(__xludf.DUMMYFUNCTION("IMPORTRANGE(""https://docs.google.com/spreadsheets/d/11923uPwbBZFjjGgGUA6NLw09EwE0CqkOc4q9oUmW1yo/edit?usp=sharing"",""เชียงราย!M429"")"),0)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IFERROR(__xludf.DUMMYFUNCTION("IMPORTRANGE(""https://docs.google.com/spreadsheets/d/11923uPwbBZFjjGgGUA6NLw09EwE0CqkOc4q9oUmW1yo/edit?usp=sharing"",""เชียงราย!L430"")"),41150)</f>
        <v>41150</v>
      </c>
      <c r="M535" s="173"/>
      <c r="N535" s="178">
        <f ca="1">IFERROR(__xludf.DUMMYFUNCTION("IMPORTRANGE(""https://docs.google.com/spreadsheets/d/11923uPwbBZFjjGgGUA6NLw09EwE0CqkOc4q9oUmW1yo/edit?usp=sharing"",""เชียงราย!M430"")"),31793)</f>
        <v>31793</v>
      </c>
      <c r="O535" s="178">
        <f t="shared" ca="1" si="118"/>
        <v>77.261239368165249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IFERROR(__xludf.DUMMYFUNCTION("IMPORTRANGE(""https://docs.google.com/spreadsheets/d/11923uPwbBZFjjGgGUA6NLw09EwE0CqkOc4q9oUmW1yo/edit?usp=sharing"",""เชียงราย!L431"")"),0)</f>
        <v>0</v>
      </c>
      <c r="M536" s="178"/>
      <c r="N536" s="178">
        <f ca="1">IFERROR(__xludf.DUMMYFUNCTION("IMPORTRANGE(""https://docs.google.com/spreadsheets/d/11923uPwbBZFjjGgGUA6NLw09EwE0CqkOc4q9oUmW1yo/edit?usp=sharing"",""เชียงราย!M431"")"),0)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IFERROR(__xludf.DUMMYFUNCTION("IMPORTRANGE(""https://docs.google.com/spreadsheets/d/11923uPwbBZFjjGgGUA6NLw09EwE0CqkOc4q9oUmW1yo/edit?usp=sharing"",""เชียงราย!L432"")"),41150)</f>
        <v>41150</v>
      </c>
      <c r="M537" s="178"/>
      <c r="N537" s="178">
        <f ca="1">IFERROR(__xludf.DUMMYFUNCTION("IMPORTRANGE(""https://docs.google.com/spreadsheets/d/11923uPwbBZFjjGgGUA6NLw09EwE0CqkOc4q9oUmW1yo/edit?usp=sharing"",""เชียงราย!M432"")"),31793)</f>
        <v>31793</v>
      </c>
      <c r="O537" s="178">
        <f t="shared" ca="1" si="118"/>
        <v>77.261239368165249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IFERROR(__xludf.DUMMYFUNCTION("IMPORTRANGE(""https://docs.google.com/spreadsheets/d/11923uPwbBZFjjGgGUA6NLw09EwE0CqkOc4q9oUmW1yo/edit?usp=sharing"",""เชียงราย!M433"")"),31793)</f>
        <v>31793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IFERROR(__xludf.DUMMYFUNCTION("IMPORTRANGE(""https://docs.google.com/spreadsheets/d/11923uPwbBZFjjGgGUA6NLw09EwE0CqkOc4q9oUmW1yo/edit?usp=sharing"",""เชียงราย!M434"")"),0)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IFERROR(__xludf.DUMMYFUNCTION("IMPORTRANGE(""https://docs.google.com/spreadsheets/d/11923uPwbBZFjjGgGUA6NLw09EwE0CqkOc4q9oUmW1yo/edit?usp=sharing"",""เชียงราย!M435"")"),0)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IFERROR(__xludf.DUMMYFUNCTION("IMPORTRANGE(""https://docs.google.com/spreadsheets/d/11923uPwbBZFjjGgGUA6NLw09EwE0CqkOc4q9oUmW1yo/edit?usp=sharing"",""เชียงราย!M436"")"),0)</f>
        <v>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IFERROR(__xludf.DUMMYFUNCTION("IMPORTRANGE(""https://docs.google.com/spreadsheets/d/11923uPwbBZFjjGgGUA6NLw09EwE0CqkOc4q9oUmW1yo/edit?usp=sharing"",""เชียงราย!J438"")"),0)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IFERROR(__xludf.DUMMYFUNCTION("IMPORTRANGE(""https://docs.google.com/spreadsheets/d/11923uPwbBZFjjGgGUA6NLw09EwE0CqkOc4q9oUmW1yo/edit?usp=sharing"",""เชียงราย!J439"")"),1)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IFERROR(__xludf.DUMMYFUNCTION("IMPORTRANGE(""https://docs.google.com/spreadsheets/d/11923uPwbBZFjjGgGUA6NLw09EwE0CqkOc4q9oUmW1yo/edit?usp=sharing"",""เชียงราย!J440"")"),1)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IFERROR(__xludf.DUMMYFUNCTION("IMPORTRANGE(""https://docs.google.com/spreadsheets/d/11923uPwbBZFjjGgGUA6NLw09EwE0CqkOc4q9oUmW1yo/edit?usp=sharing"",""เชียงราย!J441"")"),1)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IFERROR(__xludf.DUMMYFUNCTION("IMPORTRANGE(""https://docs.google.com/spreadsheets/d/11923uPwbBZFjjGgGUA6NLw09EwE0CqkOc4q9oUmW1yo/edit?usp=sharing"",""เชียงราย!I442"")"),30)</f>
        <v>30</v>
      </c>
      <c r="J547" s="198">
        <f ca="1">IFERROR(__xludf.DUMMYFUNCTION("IMPORTRANGE(""https://docs.google.com/spreadsheets/d/11923uPwbBZFjjGgGUA6NLw09EwE0CqkOc4q9oUmW1yo/edit?usp=sharing"",""เชียงราย!J442"")"),30)</f>
        <v>30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IFERROR(__xludf.DUMMYFUNCTION("IMPORTRANGE(""https://docs.google.com/spreadsheets/d/11923uPwbBZFjjGgGUA6NLw09EwE0CqkOc4q9oUmW1yo/edit?usp=sharing"",""เชียงราย!J166"")"),0)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IFERROR(__xludf.DUMMYFUNCTION("IMPORTRANGE(""https://docs.google.com/spreadsheets/d/11923uPwbBZFjjGgGUA6NLw09EwE0CqkOc4q9oUmW1yo/edit?usp=sharing"",""เชียงราย!J444"")"),0)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IFERROR(__xludf.DUMMYFUNCTION("IMPORTRANGE(""https://docs.google.com/spreadsheets/d/11923uPwbBZFjjGgGUA6NLw09EwE0CqkOc4q9oUmW1yo/edit?usp=sharing"",""เชียงราย!J445"")"),0)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IFERROR(__xludf.DUMMYFUNCTION("IMPORTRANGE(""https://docs.google.com/spreadsheets/d/11923uPwbBZFjjGgGUA6NLw09EwE0CqkOc4q9oUmW1yo/edit?usp=sharing"",""เชียงราย!I446"")"),0)</f>
        <v>0</v>
      </c>
      <c r="J551" s="418">
        <f ca="1">IFERROR(__xludf.DUMMYFUNCTION("IMPORTRANGE(""https://docs.google.com/spreadsheets/d/11923uPwbBZFjjGgGUA6NLw09EwE0CqkOc4q9oUmW1yo/edit?usp=sharing"",""เชียงราย!J446"")"),0)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IFERROR(__xludf.DUMMYFUNCTION("IMPORTRANGE(""https://docs.google.com/spreadsheets/d/11923uPwbBZFjjGgGUA6NLw09EwE0CqkOc4q9oUmW1yo/edit?usp=sharing"",""เชียงราย!L446"")"),0)</f>
        <v>0</v>
      </c>
      <c r="M551" s="420"/>
      <c r="N551" s="420">
        <f ca="1">IFERROR(__xludf.DUMMYFUNCTION("IMPORTRANGE(""https://docs.google.com/spreadsheets/d/11923uPwbBZFjjGgGUA6NLw09EwE0CqkOc4q9oUmW1yo/edit?usp=sharing"",""เชียงราย!M446"")"),0)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IFERROR(__xludf.DUMMYFUNCTION("IMPORTRANGE(""https://docs.google.com/spreadsheets/d/11923uPwbBZFjjGgGUA6NLw09EwE0CqkOc4q9oUmW1yo/edit?usp=sharing"",""เชียงราย!L447"")"),0)</f>
        <v>0</v>
      </c>
      <c r="M552" s="172"/>
      <c r="N552" s="178">
        <f ca="1">IFERROR(__xludf.DUMMYFUNCTION("IMPORTRANGE(""https://docs.google.com/spreadsheets/d/11923uPwbBZFjjGgGUA6NLw09EwE0CqkOc4q9oUmW1yo/edit?usp=sharing"",""เชียงราย!M447"")"),0)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IFERROR(__xludf.DUMMYFUNCTION("IMPORTRANGE(""https://docs.google.com/spreadsheets/d/11923uPwbBZFjjGgGUA6NLw09EwE0CqkOc4q9oUmW1yo/edit?usp=sharing"",""เชียงราย!L448"")"),0)</f>
        <v>0</v>
      </c>
      <c r="M553" s="173"/>
      <c r="N553" s="178">
        <f ca="1">IFERROR(__xludf.DUMMYFUNCTION("IMPORTRANGE(""https://docs.google.com/spreadsheets/d/11923uPwbBZFjjGgGUA6NLw09EwE0CqkOc4q9oUmW1yo/edit?usp=sharing"",""เชียงราย!M448"")"),0)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IFERROR(__xludf.DUMMYFUNCTION("IMPORTRANGE(""https://docs.google.com/spreadsheets/d/11923uPwbBZFjjGgGUA6NLw09EwE0CqkOc4q9oUmW1yo/edit?usp=sharing"",""เชียงราย!L449"")"),0)</f>
        <v>0</v>
      </c>
      <c r="M554" s="178"/>
      <c r="N554" s="178">
        <f ca="1">IFERROR(__xludf.DUMMYFUNCTION("IMPORTRANGE(""https://docs.google.com/spreadsheets/d/11923uPwbBZFjjGgGUA6NLw09EwE0CqkOc4q9oUmW1yo/edit?usp=sharing"",""เชียงราย!M449"")"),0)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IFERROR(__xludf.DUMMYFUNCTION("IMPORTRANGE(""https://docs.google.com/spreadsheets/d/11923uPwbBZFjjGgGUA6NLw09EwE0CqkOc4q9oUmW1yo/edit?usp=sharing"",""เชียงราย!L450"")"),0)</f>
        <v>0</v>
      </c>
      <c r="M555" s="178"/>
      <c r="N555" s="178">
        <f ca="1">IFERROR(__xludf.DUMMYFUNCTION("IMPORTRANGE(""https://docs.google.com/spreadsheets/d/11923uPwbBZFjjGgGUA6NLw09EwE0CqkOc4q9oUmW1yo/edit?usp=sharing"",""เชียงราย!M450"")"),0)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IFERROR(__xludf.DUMMYFUNCTION("IMPORTRANGE(""https://docs.google.com/spreadsheets/d/11923uPwbBZFjjGgGUA6NLw09EwE0CqkOc4q9oUmW1yo/edit?usp=sharing"",""เชียงราย!M451"")"),0)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IFERROR(__xludf.DUMMYFUNCTION("IMPORTRANGE(""https://docs.google.com/spreadsheets/d/11923uPwbBZFjjGgGUA6NLw09EwE0CqkOc4q9oUmW1yo/edit?usp=sharing"",""เชียงราย!M452"")"),0)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IFERROR(__xludf.DUMMYFUNCTION("IMPORTRANGE(""https://docs.google.com/spreadsheets/d/11923uPwbBZFjjGgGUA6NLw09EwE0CqkOc4q9oUmW1yo/edit?usp=sharing"",""เชียงราย!M453"")"),0)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IFERROR(__xludf.DUMMYFUNCTION("IMPORTRANGE(""https://docs.google.com/spreadsheets/d/11923uPwbBZFjjGgGUA6NLw09EwE0CqkOc4q9oUmW1yo/edit?usp=sharing"",""เชียงราย!M454"")"),0)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IFERROR(__xludf.DUMMYFUNCTION("IMPORTRANGE(""https://docs.google.com/spreadsheets/d/11923uPwbBZFjjGgGUA6NLw09EwE0CqkOc4q9oUmW1yo/edit?usp=sharing"",""เชียงราย!I455"")"),0)</f>
        <v>0</v>
      </c>
      <c r="J560" s="170">
        <f ca="1">IFERROR(__xludf.DUMMYFUNCTION("IMPORTRANGE(""https://docs.google.com/spreadsheets/d/11923uPwbBZFjjGgGUA6NLw09EwE0CqkOc4q9oUmW1yo/edit?usp=sharing"",""เชียงราย!J455"")"),0)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IFERROR(__xludf.DUMMYFUNCTION("IMPORTRANGE(""https://docs.google.com/spreadsheets/d/11923uPwbBZFjjGgGUA6NLw09EwE0CqkOc4q9oUmW1yo/edit?usp=sharing"",""เชียงราย!I456"")"),0)</f>
        <v>0</v>
      </c>
      <c r="J561" s="213">
        <f ca="1">IFERROR(__xludf.DUMMYFUNCTION("IMPORTRANGE(""https://docs.google.com/spreadsheets/d/11923uPwbBZFjjGgGUA6NLw09EwE0CqkOc4q9oUmW1yo/edit?usp=sharing"",""เชียงราย!J456"")"),0)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IFERROR(__xludf.DUMMYFUNCTION("IMPORTRANGE(""https://docs.google.com/spreadsheets/d/11923uPwbBZFjjGgGUA6NLw09EwE0CqkOc4q9oUmW1yo/edit?usp=sharing"",""เชียงราย!J457"")"),"")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IFERROR(__xludf.DUMMYFUNCTION("IMPORTRANGE(""https://docs.google.com/spreadsheets/d/11923uPwbBZFjjGgGUA6NLw09EwE0CqkOc4q9oUmW1yo/edit?usp=sharing"",""เชียงราย!J458"")"),"")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IFERROR(__xludf.DUMMYFUNCTION("IMPORTRANGE(""https://docs.google.com/spreadsheets/d/11923uPwbBZFjjGgGUA6NLw09EwE0CqkOc4q9oUmW1yo/edit?usp=sharing"",""เชียงราย!I459"")"),3400)</f>
        <v>3400</v>
      </c>
      <c r="J564" s="379">
        <f ca="1">IFERROR(__xludf.DUMMYFUNCTION("IMPORTRANGE(""https://docs.google.com/spreadsheets/d/11923uPwbBZFjjGgGUA6NLw09EwE0CqkOc4q9oUmW1yo/edit?usp=sharing"",""เชียงราย!J459"")"),2231)</f>
        <v>2231</v>
      </c>
      <c r="K564" s="380">
        <f t="shared" ca="1" si="121"/>
        <v>65.617647058823536</v>
      </c>
      <c r="L564" s="381">
        <f ca="1">IFERROR(__xludf.DUMMYFUNCTION("IMPORTRANGE(""https://docs.google.com/spreadsheets/d/11923uPwbBZFjjGgGUA6NLw09EwE0CqkOc4q9oUmW1yo/edit?usp=sharing"",""เชียงราย!L459"")"),165600)</f>
        <v>165600</v>
      </c>
      <c r="M564" s="381"/>
      <c r="N564" s="381">
        <f ca="1">IFERROR(__xludf.DUMMYFUNCTION("IMPORTRANGE(""https://docs.google.com/spreadsheets/d/11923uPwbBZFjjGgGUA6NLw09EwE0CqkOc4q9oUmW1yo/edit?usp=sharing"",""เชียงราย!M459"")"),31500)</f>
        <v>31500</v>
      </c>
      <c r="O564" s="381">
        <f t="shared" ref="O564:O568" ca="1" si="122">+IF(L564&gt;0,N564*100/L564,0)</f>
        <v>19.021739130434781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IFERROR(__xludf.DUMMYFUNCTION("IMPORTRANGE(""https://docs.google.com/spreadsheets/d/11923uPwbBZFjjGgGUA6NLw09EwE0CqkOc4q9oUmW1yo/edit?usp=sharing"",""เชียงราย!L460"")"),0)</f>
        <v>0</v>
      </c>
      <c r="M565" s="172"/>
      <c r="N565" s="178">
        <f ca="1">IFERROR(__xludf.DUMMYFUNCTION("IMPORTRANGE(""https://docs.google.com/spreadsheets/d/11923uPwbBZFjjGgGUA6NLw09EwE0CqkOc4q9oUmW1yo/edit?usp=sharing"",""เชียงราย!M460"")"),0)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IFERROR(__xludf.DUMMYFUNCTION("IMPORTRANGE(""https://docs.google.com/spreadsheets/d/11923uPwbBZFjjGgGUA6NLw09EwE0CqkOc4q9oUmW1yo/edit?usp=sharing"",""เชียงราย!L461"")"),165600)</f>
        <v>165600</v>
      </c>
      <c r="M566" s="173"/>
      <c r="N566" s="178">
        <f ca="1">IFERROR(__xludf.DUMMYFUNCTION("IMPORTRANGE(""https://docs.google.com/spreadsheets/d/11923uPwbBZFjjGgGUA6NLw09EwE0CqkOc4q9oUmW1yo/edit?usp=sharing"",""เชียงราย!M461"")"),31500)</f>
        <v>31500</v>
      </c>
      <c r="O566" s="178">
        <f t="shared" ca="1" si="122"/>
        <v>19.021739130434781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IFERROR(__xludf.DUMMYFUNCTION("IMPORTRANGE(""https://docs.google.com/spreadsheets/d/11923uPwbBZFjjGgGUA6NLw09EwE0CqkOc4q9oUmW1yo/edit?usp=sharing"",""เชียงราย!L462"")"),0)</f>
        <v>0</v>
      </c>
      <c r="M567" s="178"/>
      <c r="N567" s="178">
        <f ca="1">IFERROR(__xludf.DUMMYFUNCTION("IMPORTRANGE(""https://docs.google.com/spreadsheets/d/11923uPwbBZFjjGgGUA6NLw09EwE0CqkOc4q9oUmW1yo/edit?usp=sharing"",""เชียงราย!M462"")"),0)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IFERROR(__xludf.DUMMYFUNCTION("IMPORTRANGE(""https://docs.google.com/spreadsheets/d/11923uPwbBZFjjGgGUA6NLw09EwE0CqkOc4q9oUmW1yo/edit?usp=sharing"",""เชียงราย!L463"")"),165600)</f>
        <v>165600</v>
      </c>
      <c r="M568" s="178"/>
      <c r="N568" s="178">
        <f ca="1">IFERROR(__xludf.DUMMYFUNCTION("IMPORTRANGE(""https://docs.google.com/spreadsheets/d/11923uPwbBZFjjGgGUA6NLw09EwE0CqkOc4q9oUmW1yo/edit?usp=sharing"",""เชียงราย!M463"")"),31500)</f>
        <v>31500</v>
      </c>
      <c r="O568" s="178">
        <f t="shared" ca="1" si="122"/>
        <v>19.021739130434781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IFERROR(__xludf.DUMMYFUNCTION("IMPORTRANGE(""https://docs.google.com/spreadsheets/d/11923uPwbBZFjjGgGUA6NLw09EwE0CqkOc4q9oUmW1yo/edit?usp=sharing"",""เชียงราย!M464"")"),0)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IFERROR(__xludf.DUMMYFUNCTION("IMPORTRANGE(""https://docs.google.com/spreadsheets/d/11923uPwbBZFjjGgGUA6NLw09EwE0CqkOc4q9oUmW1yo/edit?usp=sharing"",""เชียงราย!M465"")"),0)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IFERROR(__xludf.DUMMYFUNCTION("IMPORTRANGE(""https://docs.google.com/spreadsheets/d/11923uPwbBZFjjGgGUA6NLw09EwE0CqkOc4q9oUmW1yo/edit?usp=sharing"",""เชียงราย!M466"")"),31500)</f>
        <v>31500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IFERROR(__xludf.DUMMYFUNCTION("IMPORTRANGE(""https://docs.google.com/spreadsheets/d/11923uPwbBZFjjGgGUA6NLw09EwE0CqkOc4q9oUmW1yo/edit?usp=sharing"",""เชียงราย!M467"")"),0)</f>
        <v>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IFERROR(__xludf.DUMMYFUNCTION("IMPORTRANGE(""https://docs.google.com/spreadsheets/d/11923uPwbBZFjjGgGUA6NLw09EwE0CqkOc4q9oUmW1yo/edit?usp=sharing"",""เชียงราย!I468"")"),3400)</f>
        <v>3400</v>
      </c>
      <c r="J573" s="428">
        <f ca="1">IFERROR(__xludf.DUMMYFUNCTION("IMPORTRANGE(""https://docs.google.com/spreadsheets/d/11923uPwbBZFjjGgGUA6NLw09EwE0CqkOc4q9oUmW1yo/edit?usp=sharing"",""เชียงราย!J468"")"),2231)</f>
        <v>2231</v>
      </c>
      <c r="K573" s="211">
        <f ca="1">IF(I573&gt;0,J573*100/I573,0)</f>
        <v>65.617647058823536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IFERROR(__xludf.DUMMYFUNCTION("IMPORTRANGE(""https://docs.google.com/spreadsheets/d/11923uPwbBZFjjGgGUA6NLw09EwE0CqkOc4q9oUmW1yo/edit?usp=sharing"",""เชียงราย!I470"")"),0)</f>
        <v>0</v>
      </c>
      <c r="J575" s="207">
        <f ca="1">IFERROR(__xludf.DUMMYFUNCTION("IMPORTRANGE(""https://docs.google.com/spreadsheets/d/11923uPwbBZFjjGgGUA6NLw09EwE0CqkOc4q9oUmW1yo/edit?usp=sharing"",""เชียงราย!J470"")"),2)</f>
        <v>2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IFERROR(__xludf.DUMMYFUNCTION("IMPORTRANGE(""https://docs.google.com/spreadsheets/d/11923uPwbBZFjjGgGUA6NLw09EwE0CqkOc4q9oUmW1yo/edit?usp=sharing"",""เชียงราย!I471"")"),0)</f>
        <v>0</v>
      </c>
      <c r="J576" s="207">
        <f ca="1">IFERROR(__xludf.DUMMYFUNCTION("IMPORTRANGE(""https://docs.google.com/spreadsheets/d/11923uPwbBZFjjGgGUA6NLw09EwE0CqkOc4q9oUmW1yo/edit?usp=sharing"",""เชียงราย!J471"")"),160)</f>
        <v>160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IFERROR(__xludf.DUMMYFUNCTION("IMPORTRANGE(""https://docs.google.com/spreadsheets/d/11923uPwbBZFjjGgGUA6NLw09EwE0CqkOc4q9oUmW1yo/edit?usp=sharing"",""เชียงราย!I472"")"),0)</f>
        <v>0</v>
      </c>
      <c r="J577" s="198">
        <f ca="1">IFERROR(__xludf.DUMMYFUNCTION("IMPORTRANGE(""https://docs.google.com/spreadsheets/d/11923uPwbBZFjjGgGUA6NLw09EwE0CqkOc4q9oUmW1yo/edit?usp=sharing"",""เชียงราย!J472"")"),2052)</f>
        <v>2052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IFERROR(__xludf.DUMMYFUNCTION("IMPORTRANGE(""https://docs.google.com/spreadsheets/d/11923uPwbBZFjjGgGUA6NLw09EwE0CqkOc4q9oUmW1yo/edit?usp=sharing"",""เชียงราย!I473"")"),0)</f>
        <v>0</v>
      </c>
      <c r="J578" s="207">
        <f ca="1">IFERROR(__xludf.DUMMYFUNCTION("IMPORTRANGE(""https://docs.google.com/spreadsheets/d/11923uPwbBZFjjGgGUA6NLw09EwE0CqkOc4q9oUmW1yo/edit?usp=sharing"",""เชียงราย!J473"")"),7)</f>
        <v>7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IFERROR(__xludf.DUMMYFUNCTION("IMPORTRANGE(""https://docs.google.com/spreadsheets/d/11923uPwbBZFjjGgGUA6NLw09EwE0CqkOc4q9oUmW1yo/edit?usp=sharing"",""เชียงราย!I474"")"),0)</f>
        <v>0</v>
      </c>
      <c r="J579" s="207">
        <f ca="1">IFERROR(__xludf.DUMMYFUNCTION("IMPORTRANGE(""https://docs.google.com/spreadsheets/d/11923uPwbBZFjjGgGUA6NLw09EwE0CqkOc4q9oUmW1yo/edit?usp=sharing"",""เชียงราย!J474"")"),12)</f>
        <v>12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IFERROR(__xludf.DUMMYFUNCTION("IMPORTRANGE(""https://docs.google.com/spreadsheets/d/11923uPwbBZFjjGgGUA6NLw09EwE0CqkOc4q9oUmW1yo/edit?usp=sharing"",""เชียงราย!I475"")"),176)</f>
        <v>176</v>
      </c>
      <c r="J580" s="379">
        <f ca="1">IFERROR(__xludf.DUMMYFUNCTION("IMPORTRANGE(""https://docs.google.com/spreadsheets/d/11923uPwbBZFjjGgGUA6NLw09EwE0CqkOc4q9oUmW1yo/edit?usp=sharing"",""เชียงราย!J475"")"),0)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IFERROR(__xludf.DUMMYFUNCTION("IMPORTRANGE(""https://docs.google.com/spreadsheets/d/11923uPwbBZFjjGgGUA6NLw09EwE0CqkOc4q9oUmW1yo/edit?usp=sharing"",""เชียงราย!L475"")"),359076)</f>
        <v>359076</v>
      </c>
      <c r="M580" s="381"/>
      <c r="N580" s="381">
        <f ca="1">IFERROR(__xludf.DUMMYFUNCTION("IMPORTRANGE(""https://docs.google.com/spreadsheets/d/11923uPwbBZFjjGgGUA6NLw09EwE0CqkOc4q9oUmW1yo/edit?usp=sharing"",""เชียงราย!M475"")"),39520)</f>
        <v>39520</v>
      </c>
      <c r="O580" s="381">
        <f t="shared" ref="O580:O584" ca="1" si="124">+IF(L580&gt;0,N580*100/L580,0)</f>
        <v>11.006026579331396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IFERROR(__xludf.DUMMYFUNCTION("IMPORTRANGE(""https://docs.google.com/spreadsheets/d/11923uPwbBZFjjGgGUA6NLw09EwE0CqkOc4q9oUmW1yo/edit?usp=sharing"",""เชียงราย!L476"")"),0)</f>
        <v>0</v>
      </c>
      <c r="M581" s="172"/>
      <c r="N581" s="178">
        <f ca="1">IFERROR(__xludf.DUMMYFUNCTION("IMPORTRANGE(""https://docs.google.com/spreadsheets/d/11923uPwbBZFjjGgGUA6NLw09EwE0CqkOc4q9oUmW1yo/edit?usp=sharing"",""เชียงราย!M476"")"),0)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IFERROR(__xludf.DUMMYFUNCTION("IMPORTRANGE(""https://docs.google.com/spreadsheets/d/11923uPwbBZFjjGgGUA6NLw09EwE0CqkOc4q9oUmW1yo/edit?usp=sharing"",""เชียงราย!L477"")"),359076)</f>
        <v>359076</v>
      </c>
      <c r="M582" s="173"/>
      <c r="N582" s="178">
        <f ca="1">IFERROR(__xludf.DUMMYFUNCTION("IMPORTRANGE(""https://docs.google.com/spreadsheets/d/11923uPwbBZFjjGgGUA6NLw09EwE0CqkOc4q9oUmW1yo/edit?usp=sharing"",""เชียงราย!M477"")"),39520)</f>
        <v>39520</v>
      </c>
      <c r="O582" s="178">
        <f t="shared" ca="1" si="124"/>
        <v>11.006026579331396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IFERROR(__xludf.DUMMYFUNCTION("IMPORTRANGE(""https://docs.google.com/spreadsheets/d/11923uPwbBZFjjGgGUA6NLw09EwE0CqkOc4q9oUmW1yo/edit?usp=sharing"",""เชียงราย!L478"")"),0)</f>
        <v>0</v>
      </c>
      <c r="M583" s="178"/>
      <c r="N583" s="178">
        <f ca="1">IFERROR(__xludf.DUMMYFUNCTION("IMPORTRANGE(""https://docs.google.com/spreadsheets/d/11923uPwbBZFjjGgGUA6NLw09EwE0CqkOc4q9oUmW1yo/edit?usp=sharing"",""เชียงราย!M478"")"),0)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IFERROR(__xludf.DUMMYFUNCTION("IMPORTRANGE(""https://docs.google.com/spreadsheets/d/11923uPwbBZFjjGgGUA6NLw09EwE0CqkOc4q9oUmW1yo/edit?usp=sharing"",""เชียงราย!L479"")"),359076)</f>
        <v>359076</v>
      </c>
      <c r="M584" s="178"/>
      <c r="N584" s="178">
        <f ca="1">IFERROR(__xludf.DUMMYFUNCTION("IMPORTRANGE(""https://docs.google.com/spreadsheets/d/11923uPwbBZFjjGgGUA6NLw09EwE0CqkOc4q9oUmW1yo/edit?usp=sharing"",""เชียงราย!M479"")"),39520)</f>
        <v>39520</v>
      </c>
      <c r="O584" s="178">
        <f t="shared" ca="1" si="124"/>
        <v>11.006026579331396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IFERROR(__xludf.DUMMYFUNCTION("IMPORTRANGE(""https://docs.google.com/spreadsheets/d/11923uPwbBZFjjGgGUA6NLw09EwE0CqkOc4q9oUmW1yo/edit?usp=sharing"",""เชียงราย!M480"")"),0)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IFERROR(__xludf.DUMMYFUNCTION("IMPORTRANGE(""https://docs.google.com/spreadsheets/d/11923uPwbBZFjjGgGUA6NLw09EwE0CqkOc4q9oUmW1yo/edit?usp=sharing"",""เชียงราย!M481"")"),0)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IFERROR(__xludf.DUMMYFUNCTION("IMPORTRANGE(""https://docs.google.com/spreadsheets/d/11923uPwbBZFjjGgGUA6NLw09EwE0CqkOc4q9oUmW1yo/edit?usp=sharing"",""เชียงราย!M482"")"),28500)</f>
        <v>28500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IFERROR(__xludf.DUMMYFUNCTION("IMPORTRANGE(""https://docs.google.com/spreadsheets/d/11923uPwbBZFjjGgGUA6NLw09EwE0CqkOc4q9oUmW1yo/edit?usp=sharing"",""เชียงราย!M483"")"),11020)</f>
        <v>11020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IFERROR(__xludf.DUMMYFUNCTION("IMPORTRANGE(""https://docs.google.com/spreadsheets/d/11923uPwbBZFjjGgGUA6NLw09EwE0CqkOc4q9oUmW1yo/edit?usp=sharing"",""เชียงราย!I484"")"),176)</f>
        <v>176</v>
      </c>
      <c r="J589" s="197">
        <f ca="1">IFERROR(__xludf.DUMMYFUNCTION("IMPORTRANGE(""https://docs.google.com/spreadsheets/d/11923uPwbBZFjjGgGUA6NLw09EwE0CqkOc4q9oUmW1yo/edit?usp=sharing"",""เชียงราย!J484"")"),54)</f>
        <v>54</v>
      </c>
      <c r="K589" s="171">
        <f t="shared" ref="K589:K596" ca="1" si="125">IF(I589&gt;0,J589*100/I589,0)</f>
        <v>30.681818181818183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IFERROR(__xludf.DUMMYFUNCTION("IMPORTRANGE(""https://docs.google.com/spreadsheets/d/11923uPwbBZFjjGgGUA6NLw09EwE0CqkOc4q9oUmW1yo/edit?usp=sharing"",""เชียงราย!I485"")"),0)</f>
        <v>0</v>
      </c>
      <c r="J590" s="197">
        <f ca="1">IFERROR(__xludf.DUMMYFUNCTION("IMPORTRANGE(""https://docs.google.com/spreadsheets/d/11923uPwbBZFjjGgGUA6NLw09EwE0CqkOc4q9oUmW1yo/edit?usp=sharing"",""เชียงราย!J485"")"),32.73)</f>
        <v>32.729999999999997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IFERROR(__xludf.DUMMYFUNCTION("IMPORTRANGE(""https://docs.google.com/spreadsheets/d/11923uPwbBZFjjGgGUA6NLw09EwE0CqkOc4q9oUmW1yo/edit?usp=sharing"",""เชียงราย!I486"")"),176)</f>
        <v>176</v>
      </c>
      <c r="J591" s="197">
        <f ca="1">IFERROR(__xludf.DUMMYFUNCTION("IMPORTRANGE(""https://docs.google.com/spreadsheets/d/11923uPwbBZFjjGgGUA6NLw09EwE0CqkOc4q9oUmW1yo/edit?usp=sharing"",""เชียงราย!J486"")"),0)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IFERROR(__xludf.DUMMYFUNCTION("IMPORTRANGE(""https://docs.google.com/spreadsheets/d/11923uPwbBZFjjGgGUA6NLw09EwE0CqkOc4q9oUmW1yo/edit?usp=sharing"",""เชียงราย!I487"")"),0)</f>
        <v>0</v>
      </c>
      <c r="J592" s="197">
        <f ca="1">IFERROR(__xludf.DUMMYFUNCTION("IMPORTRANGE(""https://docs.google.com/spreadsheets/d/11923uPwbBZFjjGgGUA6NLw09EwE0CqkOc4q9oUmW1yo/edit?usp=sharing"",""เชียงราย!J487"")"),0)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IFERROR(__xludf.DUMMYFUNCTION("IMPORTRANGE(""https://docs.google.com/spreadsheets/d/11923uPwbBZFjjGgGUA6NLw09EwE0CqkOc4q9oUmW1yo/edit?usp=sharing"",""เชียงราย!I488"")"),176)</f>
        <v>176</v>
      </c>
      <c r="J593" s="197">
        <f ca="1">IFERROR(__xludf.DUMMYFUNCTION("IMPORTRANGE(""https://docs.google.com/spreadsheets/d/11923uPwbBZFjjGgGUA6NLw09EwE0CqkOc4q9oUmW1yo/edit?usp=sharing"",""เชียงราย!J488"")"),0)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IFERROR(__xludf.DUMMYFUNCTION("IMPORTRANGE(""https://docs.google.com/spreadsheets/d/11923uPwbBZFjjGgGUA6NLw09EwE0CqkOc4q9oUmW1yo/edit?usp=sharing"",""เชียงราย!I489"")"),0)</f>
        <v>0</v>
      </c>
      <c r="J594" s="197">
        <f ca="1">IFERROR(__xludf.DUMMYFUNCTION("IMPORTRANGE(""https://docs.google.com/spreadsheets/d/11923uPwbBZFjjGgGUA6NLw09EwE0CqkOc4q9oUmW1yo/edit?usp=sharing"",""เชียงราย!J489"")"),0)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IFERROR(__xludf.DUMMYFUNCTION("IMPORTRANGE(""https://docs.google.com/spreadsheets/d/11923uPwbBZFjjGgGUA6NLw09EwE0CqkOc4q9oUmW1yo/edit?usp=sharing"",""เชียงราย!I490"")"),176)</f>
        <v>176</v>
      </c>
      <c r="J595" s="197">
        <f ca="1">IFERROR(__xludf.DUMMYFUNCTION("IMPORTRANGE(""https://docs.google.com/spreadsheets/d/11923uPwbBZFjjGgGUA6NLw09EwE0CqkOc4q9oUmW1yo/edit?usp=sharing"",""เชียงราย!J490"")"),0)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IFERROR(__xludf.DUMMYFUNCTION("IMPORTRANGE(""https://docs.google.com/spreadsheets/d/11923uPwbBZFjjGgGUA6NLw09EwE0CqkOc4q9oUmW1yo/edit?usp=sharing"",""เชียงราย!I491"")"),0)</f>
        <v>0</v>
      </c>
      <c r="J596" s="250">
        <f ca="1">IFERROR(__xludf.DUMMYFUNCTION("IMPORTRANGE(""https://docs.google.com/spreadsheets/d/11923uPwbBZFjjGgGUA6NLw09EwE0CqkOc4q9oUmW1yo/edit?usp=sharing"",""เชียงราย!J491"")"),0)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IFERROR(__xludf.DUMMYFUNCTION("IMPORTRANGE(""https://docs.google.com/spreadsheets/d/11923uPwbBZFjjGgGUA6NLw09EwE0CqkOc4q9oUmW1yo/edit?usp=sharing"",""เชียงราย!I492"")"),220)</f>
        <v>220</v>
      </c>
      <c r="J597" s="495">
        <f ca="1">IFERROR(__xludf.DUMMYFUNCTION("IMPORTRANGE(""https://docs.google.com/spreadsheets/d/11923uPwbBZFjjGgGUA6NLw09EwE0CqkOc4q9oUmW1yo/edit?usp=sharing"",""เชียงราย!J492"")"),0)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IFERROR(__xludf.DUMMYFUNCTION("IMPORTRANGE(""https://docs.google.com/spreadsheets/d/11923uPwbBZFjjGgGUA6NLw09EwE0CqkOc4q9oUmW1yo/edit?usp=sharing"",""เชียงราย!L492"")"),15500)</f>
        <v>15500</v>
      </c>
      <c r="M597" s="420"/>
      <c r="N597" s="420">
        <f ca="1">IFERROR(__xludf.DUMMYFUNCTION("IMPORTRANGE(""https://docs.google.com/spreadsheets/d/11923uPwbBZFjjGgGUA6NLw09EwE0CqkOc4q9oUmW1yo/edit?usp=sharing"",""เชียงราย!M492"")"),0)</f>
        <v>0</v>
      </c>
      <c r="O597" s="420">
        <f t="shared" ref="O597:O601" ca="1" si="126">+IF(L597&gt;0,N597*100/L597,0)</f>
        <v>0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IFERROR(__xludf.DUMMYFUNCTION("IMPORTRANGE(""https://docs.google.com/spreadsheets/d/11923uPwbBZFjjGgGUA6NLw09EwE0CqkOc4q9oUmW1yo/edit?usp=sharing"",""เชียงราย!L493"")"),0)</f>
        <v>0</v>
      </c>
      <c r="M598" s="172"/>
      <c r="N598" s="178">
        <f ca="1">IFERROR(__xludf.DUMMYFUNCTION("IMPORTRANGE(""https://docs.google.com/spreadsheets/d/11923uPwbBZFjjGgGUA6NLw09EwE0CqkOc4q9oUmW1yo/edit?usp=sharing"",""เชียงราย!M493"")"),0)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IFERROR(__xludf.DUMMYFUNCTION("IMPORTRANGE(""https://docs.google.com/spreadsheets/d/11923uPwbBZFjjGgGUA6NLw09EwE0CqkOc4q9oUmW1yo/edit?usp=sharing"",""เชียงราย!L494"")"),15500)</f>
        <v>15500</v>
      </c>
      <c r="M599" s="173"/>
      <c r="N599" s="178">
        <f ca="1">IFERROR(__xludf.DUMMYFUNCTION("IMPORTRANGE(""https://docs.google.com/spreadsheets/d/11923uPwbBZFjjGgGUA6NLw09EwE0CqkOc4q9oUmW1yo/edit?usp=sharing"",""เชียงราย!M494"")"),0)</f>
        <v>0</v>
      </c>
      <c r="O599" s="178">
        <f t="shared" ca="1" si="126"/>
        <v>0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IFERROR(__xludf.DUMMYFUNCTION("IMPORTRANGE(""https://docs.google.com/spreadsheets/d/11923uPwbBZFjjGgGUA6NLw09EwE0CqkOc4q9oUmW1yo/edit?usp=sharing"",""เชียงราย!L495"")"),0)</f>
        <v>0</v>
      </c>
      <c r="M600" s="178"/>
      <c r="N600" s="178">
        <f ca="1">IFERROR(__xludf.DUMMYFUNCTION("IMPORTRANGE(""https://docs.google.com/spreadsheets/d/11923uPwbBZFjjGgGUA6NLw09EwE0CqkOc4q9oUmW1yo/edit?usp=sharing"",""เชียงราย!M495"")"),0)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IFERROR(__xludf.DUMMYFUNCTION("IMPORTRANGE(""https://docs.google.com/spreadsheets/d/11923uPwbBZFjjGgGUA6NLw09EwE0CqkOc4q9oUmW1yo/edit?usp=sharing"",""เชียงราย!L496"")"),15500)</f>
        <v>15500</v>
      </c>
      <c r="M601" s="178"/>
      <c r="N601" s="178">
        <f ca="1">IFERROR(__xludf.DUMMYFUNCTION("IMPORTRANGE(""https://docs.google.com/spreadsheets/d/11923uPwbBZFjjGgGUA6NLw09EwE0CqkOc4q9oUmW1yo/edit?usp=sharing"",""เชียงราย!M496"")"),0)</f>
        <v>0</v>
      </c>
      <c r="O601" s="178">
        <f t="shared" ca="1" si="126"/>
        <v>0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IFERROR(__xludf.DUMMYFUNCTION("IMPORTRANGE(""https://docs.google.com/spreadsheets/d/11923uPwbBZFjjGgGUA6NLw09EwE0CqkOc4q9oUmW1yo/edit?usp=sharing"",""เชียงราย!M497"")"),0)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IFERROR(__xludf.DUMMYFUNCTION("IMPORTRANGE(""https://docs.google.com/spreadsheets/d/11923uPwbBZFjjGgGUA6NLw09EwE0CqkOc4q9oUmW1yo/edit?usp=sharing"",""เชียงราย!M498"")"),0)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IFERROR(__xludf.DUMMYFUNCTION("IMPORTRANGE(""https://docs.google.com/spreadsheets/d/11923uPwbBZFjjGgGUA6NLw09EwE0CqkOc4q9oUmW1yo/edit?usp=sharing"",""เชียงราย!M499"")"),0)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IFERROR(__xludf.DUMMYFUNCTION("IMPORTRANGE(""https://docs.google.com/spreadsheets/d/11923uPwbBZFjjGgGUA6NLw09EwE0CqkOc4q9oUmW1yo/edit?usp=sharing"",""เชียงราย!M500"")"),0)</f>
        <v>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IFERROR(__xludf.DUMMYFUNCTION("IMPORTRANGE(""https://docs.google.com/spreadsheets/d/11923uPwbBZFjjGgGUA6NLw09EwE0CqkOc4q9oUmW1yo/edit?usp=sharing"",""เชียงราย!J502"")"),0)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IFERROR(__xludf.DUMMYFUNCTION("IMPORTRANGE(""https://docs.google.com/spreadsheets/d/11923uPwbBZFjjGgGUA6NLw09EwE0CqkOc4q9oUmW1yo/edit?usp=sharing"",""เชียงราย!J503"")"),1)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IFERROR(__xludf.DUMMYFUNCTION("IMPORTRANGE(""https://docs.google.com/spreadsheets/d/11923uPwbBZFjjGgGUA6NLw09EwE0CqkOc4q9oUmW1yo/edit?usp=sharing"",""เชียงราย!J166"")"),0)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IFERROR(__xludf.DUMMYFUNCTION("IMPORTRANGE(""https://docs.google.com/spreadsheets/d/11923uPwbBZFjjGgGUA6NLw09EwE0CqkOc4q9oUmW1yo/edit?usp=sharing"",""เชียงราย!J166"")"),0)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IFERROR(__xludf.DUMMYFUNCTION("IMPORTRANGE(""https://docs.google.com/spreadsheets/d/11923uPwbBZFjjGgGUA6NLw09EwE0CqkOc4q9oUmW1yo/edit?usp=sharing"",""เชียงราย!I506"")"),220)</f>
        <v>220</v>
      </c>
      <c r="J611" s="170">
        <f ca="1">IFERROR(__xludf.DUMMYFUNCTION("IMPORTRANGE(""https://docs.google.com/spreadsheets/d/11923uPwbBZFjjGgGUA6NLw09EwE0CqkOc4q9oUmW1yo/edit?usp=sharing"",""เชียงราย!J506"")"),0)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IFERROR(__xludf.DUMMYFUNCTION("IMPORTRANGE(""https://docs.google.com/spreadsheets/d/11923uPwbBZFjjGgGUA6NLw09EwE0CqkOc4q9oUmW1yo/edit?usp=sharing"",""เชียงราย!I507"")"),0)</f>
        <v>0</v>
      </c>
      <c r="J612" s="207">
        <f ca="1">IFERROR(__xludf.DUMMYFUNCTION("IMPORTRANGE(""https://docs.google.com/spreadsheets/d/11923uPwbBZFjjGgGUA6NLw09EwE0CqkOc4q9oUmW1yo/edit?usp=sharing"",""เชียงราย!J507"")"),0)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IFERROR(__xludf.DUMMYFUNCTION("IMPORTRANGE(""https://docs.google.com/spreadsheets/d/11923uPwbBZFjjGgGUA6NLw09EwE0CqkOc4q9oUmW1yo/edit?usp=sharing"",""เชียงราย!I508"")"),0)</f>
        <v>0</v>
      </c>
      <c r="J613" s="207">
        <f ca="1">IFERROR(__xludf.DUMMYFUNCTION("IMPORTRANGE(""https://docs.google.com/spreadsheets/d/11923uPwbBZFjjGgGUA6NLw09EwE0CqkOc4q9oUmW1yo/edit?usp=sharing"",""เชียงราย!J508"")"),0)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IFERROR(__xludf.DUMMYFUNCTION("IMPORTRANGE(""https://docs.google.com/spreadsheets/d/11923uPwbBZFjjGgGUA6NLw09EwE0CqkOc4q9oUmW1yo/edit?usp=sharing"",""เชียงราย!I509"")"),0)</f>
        <v>0</v>
      </c>
      <c r="J614" s="207">
        <f ca="1">IFERROR(__xludf.DUMMYFUNCTION("IMPORTRANGE(""https://docs.google.com/spreadsheets/d/11923uPwbBZFjjGgGUA6NLw09EwE0CqkOc4q9oUmW1yo/edit?usp=sharing"",""เชียงราย!J509"")"),0)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IFERROR(__xludf.DUMMYFUNCTION("IMPORTRANGE(""https://docs.google.com/spreadsheets/d/11923uPwbBZFjjGgGUA6NLw09EwE0CqkOc4q9oUmW1yo/edit?usp=sharing"",""เชียงราย!I510"")"),0)</f>
        <v>0</v>
      </c>
      <c r="J615" s="207">
        <f ca="1">IFERROR(__xludf.DUMMYFUNCTION("IMPORTRANGE(""https://docs.google.com/spreadsheets/d/11923uPwbBZFjjGgGUA6NLw09EwE0CqkOc4q9oUmW1yo/edit?usp=sharing"",""เชียงราย!J510"")"),0)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IFERROR(__xludf.DUMMYFUNCTION("IMPORTRANGE(""https://docs.google.com/spreadsheets/d/11923uPwbBZFjjGgGUA6NLw09EwE0CqkOc4q9oUmW1yo/edit?usp=sharing"",""เชียงราย!I511"")"),0)</f>
        <v>0</v>
      </c>
      <c r="J616" s="207">
        <f ca="1">IFERROR(__xludf.DUMMYFUNCTION("IMPORTRANGE(""https://docs.google.com/spreadsheets/d/11923uPwbBZFjjGgGUA6NLw09EwE0CqkOc4q9oUmW1yo/edit?usp=sharing"",""เชียงราย!J511"")"),0)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IFERROR(__xludf.DUMMYFUNCTION("IMPORTRANGE(""https://docs.google.com/spreadsheets/d/11923uPwbBZFjjGgGUA6NLw09EwE0CqkOc4q9oUmW1yo/edit?usp=sharing"",""เชียงราย!I512"")"),0)</f>
        <v>0</v>
      </c>
      <c r="J617" s="197">
        <f ca="1">IFERROR(__xludf.DUMMYFUNCTION("IMPORTRANGE(""https://docs.google.com/spreadsheets/d/11923uPwbBZFjjGgGUA6NLw09EwE0CqkOc4q9oUmW1yo/edit?usp=sharing"",""เชียงราย!J512"")"),0)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IFERROR(__xludf.DUMMYFUNCTION("IMPORTRANGE(""https://docs.google.com/spreadsheets/d/11923uPwbBZFjjGgGUA6NLw09EwE0CqkOc4q9oUmW1yo/edit?usp=sharing"",""เชียงราย!I513"")"),0)</f>
        <v>0</v>
      </c>
      <c r="J618" s="198">
        <f ca="1">IFERROR(__xludf.DUMMYFUNCTION("IMPORTRANGE(""https://docs.google.com/spreadsheets/d/11923uPwbBZFjjGgGUA6NLw09EwE0CqkOc4q9oUmW1yo/edit?usp=sharing"",""เชียงราย!J513"")"),0)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IFERROR(__xludf.DUMMYFUNCTION("IMPORTRANGE(""https://docs.google.com/spreadsheets/d/11923uPwbBZFjjGgGUA6NLw09EwE0CqkOc4q9oUmW1yo/edit?usp=sharing"",""เชียงราย!I514"")"),0)</f>
        <v>0</v>
      </c>
      <c r="J619" s="198">
        <f ca="1">IFERROR(__xludf.DUMMYFUNCTION("IMPORTRANGE(""https://docs.google.com/spreadsheets/d/11923uPwbBZFjjGgGUA6NLw09EwE0CqkOc4q9oUmW1yo/edit?usp=sharing"",""เชียงราย!J514"")"),0)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IFERROR(__xludf.DUMMYFUNCTION("IMPORTRANGE(""https://docs.google.com/spreadsheets/d/11923uPwbBZFjjGgGUA6NLw09EwE0CqkOc4q9oUmW1yo/edit?usp=sharing"",""เชียงราย!I515"")"),2288)</f>
        <v>2288</v>
      </c>
      <c r="J620" s="212">
        <f ca="1">IFERROR(__xludf.DUMMYFUNCTION("IMPORTRANGE(""https://docs.google.com/spreadsheets/d/11923uPwbBZFjjGgGUA6NLw09EwE0CqkOc4q9oUmW1yo/edit?usp=sharing"",""เชียงราย!J515"")"),0)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IFERROR(__xludf.DUMMYFUNCTION("IMPORTRANGE(""https://docs.google.com/spreadsheets/d/11923uPwbBZFjjGgGUA6NLw09EwE0CqkOc4q9oUmW1yo/edit?usp=sharing"",""เชียงราย!I516"")"),0)</f>
        <v>0</v>
      </c>
      <c r="J621" s="212">
        <f ca="1">IFERROR(__xludf.DUMMYFUNCTION("IMPORTRANGE(""https://docs.google.com/spreadsheets/d/11923uPwbBZFjjGgGUA6NLw09EwE0CqkOc4q9oUmW1yo/edit?usp=sharing"",""เชียงราย!J516"")"),0)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IFERROR(__xludf.DUMMYFUNCTION("IMPORTRANGE(""https://docs.google.com/spreadsheets/d/11923uPwbBZFjjGgGUA6NLw09EwE0CqkOc4q9oUmW1yo/edit?usp=sharing"",""เชียงราย!I517"")"),0)</f>
        <v>0</v>
      </c>
      <c r="J622" s="198">
        <f ca="1">IFERROR(__xludf.DUMMYFUNCTION("IMPORTRANGE(""https://docs.google.com/spreadsheets/d/11923uPwbBZFjjGgGUA6NLw09EwE0CqkOc4q9oUmW1yo/edit?usp=sharing"",""เชียงราย!J517"")"),0)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IFERROR(__xludf.DUMMYFUNCTION("IMPORTRANGE(""https://docs.google.com/spreadsheets/d/11923uPwbBZFjjGgGUA6NLw09EwE0CqkOc4q9oUmW1yo/edit?usp=sharing"",""เชียงราย!I518"")"),0)</f>
        <v>0</v>
      </c>
      <c r="J623" s="198">
        <f ca="1">IFERROR(__xludf.DUMMYFUNCTION("IMPORTRANGE(""https://docs.google.com/spreadsheets/d/11923uPwbBZFjjGgGUA6NLw09EwE0CqkOc4q9oUmW1yo/edit?usp=sharing"",""เชียงราย!J518"")"),0)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IFERROR(__xludf.DUMMYFUNCTION("IMPORTRANGE(""https://docs.google.com/spreadsheets/d/11923uPwbBZFjjGgGUA6NLw09EwE0CqkOc4q9oUmW1yo/edit?usp=sharing"",""เชียงราย!I519"")"),0)</f>
        <v>0</v>
      </c>
      <c r="J624" s="197">
        <f ca="1">IFERROR(__xludf.DUMMYFUNCTION("IMPORTRANGE(""https://docs.google.com/spreadsheets/d/11923uPwbBZFjjGgGUA6NLw09EwE0CqkOc4q9oUmW1yo/edit?usp=sharing"",""เชียงราย!J519"")"),0)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IFERROR(__xludf.DUMMYFUNCTION("IMPORTRANGE(""https://docs.google.com/spreadsheets/d/11923uPwbBZFjjGgGUA6NLw09EwE0CqkOc4q9oUmW1yo/edit?usp=sharing"",""เชียงราย!I520"")"),0)</f>
        <v>0</v>
      </c>
      <c r="J625" s="198">
        <f ca="1">IFERROR(__xludf.DUMMYFUNCTION("IMPORTRANGE(""https://docs.google.com/spreadsheets/d/11923uPwbBZFjjGgGUA6NLw09EwE0CqkOc4q9oUmW1yo/edit?usp=sharing"",""เชียงราย!J520"")"),0)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IFERROR(__xludf.DUMMYFUNCTION("IMPORTRANGE(""https://docs.google.com/spreadsheets/d/11923uPwbBZFjjGgGUA6NLw09EwE0CqkOc4q9oUmW1yo/edit?usp=sharing"",""เชียงราย!I521"")"),0)</f>
        <v>0</v>
      </c>
      <c r="J626" s="198">
        <f ca="1">IFERROR(__xludf.DUMMYFUNCTION("IMPORTRANGE(""https://docs.google.com/spreadsheets/d/11923uPwbBZFjjGgGUA6NLw09EwE0CqkOc4q9oUmW1yo/edit?usp=sharing"",""เชียงราย!J521"")"),0)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IFERROR(__xludf.DUMMYFUNCTION("IMPORTRANGE(""https://docs.google.com/spreadsheets/d/11923uPwbBZFjjGgGUA6NLw09EwE0CqkOc4q9oUmW1yo/edit?usp=sharing"",""เชียงราย!I523"")"),7774600)</f>
        <v>7774600</v>
      </c>
      <c r="J628" s="349">
        <f ca="1">IFERROR(__xludf.DUMMYFUNCTION("IMPORTRANGE(""https://docs.google.com/spreadsheets/d/11923uPwbBZFjjGgGUA6NLw09EwE0CqkOc4q9oUmW1yo/edit?usp=sharing"",""เชียงราย!J523"")"),50000)</f>
        <v>50000</v>
      </c>
      <c r="K628" s="350">
        <f t="shared" ref="K628:K635" ca="1" si="129">IF(I628&gt;0,J628*100/I628,0)</f>
        <v>0.64311990327476654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IFERROR(__xludf.DUMMYFUNCTION("IMPORTRANGE(""https://docs.google.com/spreadsheets/d/11923uPwbBZFjjGgGUA6NLw09EwE0CqkOc4q9oUmW1yo/edit?usp=sharing"",""เชียงราย!I524"")"),325)</f>
        <v>325</v>
      </c>
      <c r="J629" s="349">
        <f ca="1">IFERROR(__xludf.DUMMYFUNCTION("IMPORTRANGE(""https://docs.google.com/spreadsheets/d/11923uPwbBZFjjGgGUA6NLw09EwE0CqkOc4q9oUmW1yo/edit?usp=sharing"",""เชียงราย!J524"")"),2)</f>
        <v>2</v>
      </c>
      <c r="K629" s="350">
        <f t="shared" ca="1" si="129"/>
        <v>0.61538461538461542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49">
        <f ca="1">IFERROR(__xludf.DUMMYFUNCTION("IMPORTRANGE(""https://docs.google.com/spreadsheets/d/11923uPwbBZFjjGgGUA6NLw09EwE0CqkOc4q9oUmW1yo/edit?usp=sharing"",""เชียงราย!J525"")"),567373.95)</f>
        <v>567373.94999999995</v>
      </c>
      <c r="K630" s="350">
        <f t="shared" ca="1" si="129"/>
        <v>8.869375890592309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IFERROR(__xludf.DUMMYFUNCTION("IMPORTRANGE(""https://docs.google.com/spreadsheets/d/11923uPwbBZFjjGgGUA6NLw09EwE0CqkOc4q9oUmW1yo/edit?usp=sharing"",""เชียงราย!I526"")"),162)</f>
        <v>162</v>
      </c>
      <c r="J631" s="349">
        <f ca="1">IFERROR(__xludf.DUMMYFUNCTION("IMPORTRANGE(""https://docs.google.com/spreadsheets/d/11923uPwbBZFjjGgGUA6NLw09EwE0CqkOc4q9oUmW1yo/edit?usp=sharing"",""เชียงราย!J526"")"),63)</f>
        <v>63</v>
      </c>
      <c r="K631" s="350">
        <f t="shared" ca="1" si="129"/>
        <v>38.888888888888886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IFERROR(__xludf.DUMMYFUNCTION("IMPORTRANGE(""https://docs.google.com/spreadsheets/d/11923uPwbBZFjjGgGUA6NLw09EwE0CqkOc4q9oUmW1yo/edit?usp=sharing"",""เชียงราย!I527"")"),9562206.51)</f>
        <v>9562206.5099999998</v>
      </c>
      <c r="J632" s="349">
        <f ca="1">IFERROR(__xludf.DUMMYFUNCTION("IMPORTRANGE(""https://docs.google.com/spreadsheets/d/11923uPwbBZFjjGgGUA6NLw09EwE0CqkOc4q9oUmW1yo/edit?usp=sharing"",""เชียงราย!J527"")"),0)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IFERROR(__xludf.DUMMYFUNCTION("IMPORTRANGE(""https://docs.google.com/spreadsheets/d/11923uPwbBZFjjGgGUA6NLw09EwE0CqkOc4q9oUmW1yo/edit?usp=sharing"",""เชียงราย!I528"")"),51)</f>
        <v>51</v>
      </c>
      <c r="J633" s="349">
        <f ca="1">IFERROR(__xludf.DUMMYFUNCTION("IMPORTRANGE(""https://docs.google.com/spreadsheets/d/11923uPwbBZFjjGgGUA6NLw09EwE0CqkOc4q9oUmW1yo/edit?usp=sharing"",""เชียงราย!J528"")"),0)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IFERROR(__xludf.DUMMYFUNCTION("IMPORTRANGE(""https://docs.google.com/spreadsheets/d/11923uPwbBZFjjGgGUA6NLw09EwE0CqkOc4q9oUmW1yo/edit?usp=sharing"",""เชียงราย!I529"")"),4000000)</f>
        <v>4000000</v>
      </c>
      <c r="J634" s="349">
        <f ca="1">IFERROR(__xludf.DUMMYFUNCTION("IMPORTRANGE(""https://docs.google.com/spreadsheets/d/11923uPwbBZFjjGgGUA6NLw09EwE0CqkOc4q9oUmW1yo/edit?usp=sharing"",""เชียงราย!J529"")"),0)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IFERROR(__xludf.DUMMYFUNCTION("IMPORTRANGE(""https://docs.google.com/spreadsheets/d/11923uPwbBZFjjGgGUA6NLw09EwE0CqkOc4q9oUmW1yo/edit?usp=sharing"",""เชียงราย!I530"")"),162)</f>
        <v>162</v>
      </c>
      <c r="J635" s="519">
        <f ca="1">IFERROR(__xludf.DUMMYFUNCTION("IMPORTRANGE(""https://docs.google.com/spreadsheets/d/11923uPwbBZFjjGgGUA6NLw09EwE0CqkOc4q9oUmW1yo/edit?usp=sharing"",""เชียงราย!J530"")"),0)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9" sqref="J9"/>
      <selection pane="bottomLeft" activeCell="M560" sqref="M560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33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242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7372584</v>
      </c>
      <c r="M8" s="25">
        <f t="shared" ca="1" si="0"/>
        <v>2330715</v>
      </c>
      <c r="N8" s="25">
        <f t="shared" ca="1" si="0"/>
        <v>2214332.42</v>
      </c>
      <c r="O8" s="24">
        <f t="shared" ref="O8:O16" ca="1" si="1">IF(L8&gt;0,N8*100/L8,0)</f>
        <v>30.034685532236729</v>
      </c>
      <c r="P8" s="24">
        <f t="shared" ref="P8:P16" ca="1" si="2">IF(M8&gt;0,N8*100/M8,0)</f>
        <v>95.0065718030733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7372584</v>
      </c>
      <c r="M10" s="32">
        <f t="shared" ca="1" si="4"/>
        <v>2330715</v>
      </c>
      <c r="N10" s="32">
        <f t="shared" ca="1" si="4"/>
        <v>2214332.42</v>
      </c>
      <c r="O10" s="31">
        <f t="shared" ca="1" si="1"/>
        <v>30.034685532236729</v>
      </c>
      <c r="P10" s="31">
        <f t="shared" ca="1" si="2"/>
        <v>95.0065718030733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7055184</v>
      </c>
      <c r="M12" s="40">
        <f t="shared" ca="1" si="6"/>
        <v>2330715</v>
      </c>
      <c r="N12" s="40">
        <f t="shared" ca="1" si="6"/>
        <v>1902932.42</v>
      </c>
      <c r="O12" s="40">
        <f t="shared" ca="1" si="1"/>
        <v>26.972116106397792</v>
      </c>
      <c r="P12" s="40">
        <f t="shared" ca="1" si="2"/>
        <v>81.645864895536349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2412000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4643184</v>
      </c>
      <c r="M14" s="40">
        <f t="shared" si="8"/>
        <v>0</v>
      </c>
      <c r="N14" s="40">
        <f t="shared" ca="1" si="8"/>
        <v>524823.41999999993</v>
      </c>
      <c r="O14" s="43">
        <f t="shared" ca="1" si="1"/>
        <v>11.303093308384934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317400</v>
      </c>
      <c r="M16" s="40">
        <f t="shared" si="10"/>
        <v>0</v>
      </c>
      <c r="N16" s="40">
        <f t="shared" ca="1" si="10"/>
        <v>311400</v>
      </c>
      <c r="O16" s="52">
        <f t="shared" ca="1" si="1"/>
        <v>98.109640831758028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4742305</v>
      </c>
      <c r="M18" s="25">
        <f t="shared" ca="1" si="11"/>
        <v>2330715</v>
      </c>
      <c r="N18" s="25">
        <f t="shared" ca="1" si="11"/>
        <v>1689509</v>
      </c>
      <c r="O18" s="24">
        <f t="shared" ref="O18:O20" ca="1" si="12">IF(L18&gt;0,N18*100/L18,0)</f>
        <v>35.626325173096205</v>
      </c>
      <c r="P18" s="24">
        <f t="shared" ref="P18:P26" ca="1" si="13">IF(M18&gt;0,N18*100/M18,0)</f>
        <v>72.488871440738137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4742305</v>
      </c>
      <c r="M20" s="32">
        <f t="shared" ca="1" si="15"/>
        <v>2330715</v>
      </c>
      <c r="N20" s="32">
        <f t="shared" ca="1" si="15"/>
        <v>1689509</v>
      </c>
      <c r="O20" s="31">
        <f t="shared" ca="1" si="12"/>
        <v>35.626325173096205</v>
      </c>
      <c r="P20" s="31">
        <f t="shared" ca="1" si="13"/>
        <v>72.488871440738137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4424905</v>
      </c>
      <c r="M22" s="44">
        <f t="shared" ca="1" si="18"/>
        <v>2330715</v>
      </c>
      <c r="N22" s="43">
        <f t="shared" ca="1" si="18"/>
        <v>1378109</v>
      </c>
      <c r="O22" s="43">
        <f t="shared" ca="1" si="17"/>
        <v>31.1443748509855</v>
      </c>
      <c r="P22" s="43">
        <f t="shared" ca="1" si="13"/>
        <v>59.128164533201186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2412000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2012905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317400</v>
      </c>
      <c r="M26" s="52">
        <f t="shared" si="22"/>
        <v>0</v>
      </c>
      <c r="N26" s="52">
        <f t="shared" ca="1" si="22"/>
        <v>311400</v>
      </c>
      <c r="O26" s="52">
        <f t="shared" ca="1" si="17"/>
        <v>98.109640831758028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2630279</v>
      </c>
      <c r="M28" s="25">
        <f t="shared" si="23"/>
        <v>0</v>
      </c>
      <c r="N28" s="25">
        <f t="shared" ca="1" si="23"/>
        <v>524823.41999999993</v>
      </c>
      <c r="O28" s="24">
        <f t="shared" ref="O28:O30" ca="1" si="24">IF(L28&gt;0,N28*100/L28,0)</f>
        <v>19.953146415266211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2630279</v>
      </c>
      <c r="M30" s="32">
        <f t="shared" si="27"/>
        <v>0</v>
      </c>
      <c r="N30" s="32">
        <f t="shared" ca="1" si="27"/>
        <v>524823.41999999993</v>
      </c>
      <c r="O30" s="31">
        <f t="shared" ca="1" si="24"/>
        <v>19.953146415266211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2630279</v>
      </c>
      <c r="M32" s="43">
        <f t="shared" si="30"/>
        <v>0</v>
      </c>
      <c r="N32" s="43">
        <f t="shared" ca="1" si="30"/>
        <v>524823.41999999993</v>
      </c>
      <c r="O32" s="43">
        <f t="shared" ca="1" si="29"/>
        <v>19.953146415266211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2630279</v>
      </c>
      <c r="M34" s="43">
        <f t="shared" si="32"/>
        <v>0</v>
      </c>
      <c r="N34" s="43">
        <f t="shared" ca="1" si="32"/>
        <v>524823.41999999993</v>
      </c>
      <c r="O34" s="43">
        <f t="shared" ca="1" si="29"/>
        <v>19.953146415266211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4742305</v>
      </c>
      <c r="M37" s="57">
        <f t="shared" ca="1" si="33"/>
        <v>2330715</v>
      </c>
      <c r="N37" s="57">
        <f t="shared" ca="1" si="33"/>
        <v>1689509</v>
      </c>
      <c r="O37" s="58">
        <f t="shared" ca="1" si="29"/>
        <v>35.626325173096205</v>
      </c>
      <c r="P37" s="58">
        <f t="shared" ca="1" si="25"/>
        <v>72.488871440738137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891000</v>
      </c>
      <c r="M41" s="81">
        <f t="shared" ca="1" si="34"/>
        <v>354500</v>
      </c>
      <c r="N41" s="81">
        <f t="shared" ca="1" si="34"/>
        <v>478450</v>
      </c>
      <c r="O41" s="80">
        <f t="shared" ref="O41:O43" ca="1" si="35">IF(L41&gt;0,N41*100/L41,0)</f>
        <v>53.698092031425368</v>
      </c>
      <c r="P41" s="80">
        <f t="shared" ref="P41:P43" ca="1" si="36">IF(M41&gt;0,N41*100/M41,0)</f>
        <v>134.96473906911143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891000</v>
      </c>
      <c r="M43" s="81">
        <f t="shared" ca="1" si="38"/>
        <v>354500</v>
      </c>
      <c r="N43" s="81">
        <f t="shared" ca="1" si="38"/>
        <v>478450</v>
      </c>
      <c r="O43" s="80">
        <f t="shared" ca="1" si="35"/>
        <v>53.698092031425368</v>
      </c>
      <c r="P43" s="80">
        <f t="shared" ca="1" si="36"/>
        <v>134.96473906911143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709000</v>
      </c>
      <c r="M45" s="93">
        <f ca="1">IFERROR(__xludf.DUMMYFUNCTION("IMPORTRANGE(""https://docs.google.com/spreadsheets/d/1Yj_ptqi66GCucihVvJfMjLAmec39IyEx_6qawtMGysU/edit?usp=sharing"",""สบก!Q22"")"),354500)</f>
        <v>354500</v>
      </c>
      <c r="N45" s="93">
        <f ca="1">IFERROR(__xludf.DUMMYFUNCTION("IMPORTRANGE(""https://docs.google.com/spreadsheets/d/1Yj_ptqi66GCucihVvJfMjLAmec39IyEx_6qawtMGysU/edit?usp=sharing"",""สบก!R22"")"),302450)</f>
        <v>302450</v>
      </c>
      <c r="O45" s="94">
        <f ca="1">IF(L45&gt;0,N45*100/L45,0)</f>
        <v>42.658674188998589</v>
      </c>
      <c r="P45" s="94">
        <f ca="1">IF(M45&gt;0,N45*100/M45,0)</f>
        <v>85.317348377997178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IFERROR(__xludf.DUMMYFUNCTION("IMPORTRANGE(""https://docs.google.com/spreadsheets/d/1Yj_ptqi66GCucihVvJfMjLAmec39IyEx_6qawtMGysU/edit?usp=sharing"",""สบก!M22"")"),709000)</f>
        <v>709000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IFERROR(__xludf.DUMMYFUNCTION("IMPORTRANGE(""https://docs.google.com/spreadsheets/d/1Yj_ptqi66GCucihVvJfMjLAmec39IyEx_6qawtMGysU/edit?usp=sharing"",""สบก!N22"")"),0)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IFERROR(__xludf.DUMMYFUNCTION("IMPORTRANGE(""https://docs.google.com/spreadsheets/d/1Yj_ptqi66GCucihVvJfMjLAmec39IyEx_6qawtMGysU/edit?usp=sharing"",""สบก!O22"")"),182000)</f>
        <v>182000</v>
      </c>
      <c r="M49" s="103"/>
      <c r="N49" s="93">
        <f ca="1">IFERROR(__xludf.DUMMYFUNCTION("IMPORTRANGE(""https://docs.google.com/spreadsheets/d/1Yj_ptqi66GCucihVvJfMjLAmec39IyEx_6qawtMGysU/edit?usp=sharing"",""สบก!S22"")"),176000)</f>
        <v>176000</v>
      </c>
      <c r="O49" s="103">
        <f ca="1">IF(L49&gt;0,N49*100/L49,0)</f>
        <v>96.703296703296701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900000</v>
      </c>
      <c r="M53" s="127">
        <f t="shared" ca="1" si="39"/>
        <v>454500</v>
      </c>
      <c r="N53" s="127">
        <f t="shared" ca="1" si="39"/>
        <v>298845</v>
      </c>
      <c r="O53" s="126">
        <f t="shared" ref="O53:O55" ca="1" si="40">IF(L53&gt;0,N53*100/L53,0)</f>
        <v>33.204999999999998</v>
      </c>
      <c r="P53" s="126">
        <f t="shared" ref="P53:P55" ca="1" si="41">IF(M53&gt;0,N53*100/M53,0)</f>
        <v>65.752475247524757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900000</v>
      </c>
      <c r="M55" s="127">
        <f t="shared" ca="1" si="43"/>
        <v>454500</v>
      </c>
      <c r="N55" s="127">
        <f t="shared" ca="1" si="43"/>
        <v>298845</v>
      </c>
      <c r="O55" s="126">
        <f t="shared" ca="1" si="40"/>
        <v>33.204999999999998</v>
      </c>
      <c r="P55" s="126">
        <f t="shared" ca="1" si="41"/>
        <v>65.752475247524757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900000</v>
      </c>
      <c r="M57" s="93">
        <f ca="1">IFERROR(__xludf.DUMMYFUNCTION("IMPORTRANGE(""https://docs.google.com/spreadsheets/d/1Yj_ptqi66GCucihVvJfMjLAmec39IyEx_6qawtMGysU/edit?usp=sharing"",""สบก!Z22"")"),454500)</f>
        <v>454500</v>
      </c>
      <c r="N57" s="93">
        <f ca="1">IFERROR(__xludf.DUMMYFUNCTION("IMPORTRANGE(""https://docs.google.com/spreadsheets/d/1Yj_ptqi66GCucihVvJfMjLAmec39IyEx_6qawtMGysU/edit?usp=sharing"",""สบก!AA22"")"),298845)</f>
        <v>298845</v>
      </c>
      <c r="O57" s="94">
        <f ca="1">IF(L57&gt;0,N57*100/L57,0)</f>
        <v>33.204999999999998</v>
      </c>
      <c r="P57" s="94">
        <f ca="1">IF(M57&gt;0,N57*100/M57,0)</f>
        <v>65.752475247524757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IFERROR(__xludf.DUMMYFUNCTION("IMPORTRANGE(""https://docs.google.com/spreadsheets/d/1Yj_ptqi66GCucihVvJfMjLAmec39IyEx_6qawtMGysU/edit?usp=sharing"",""สบก!V22"")"),900000)</f>
        <v>900000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IFERROR(__xludf.DUMMYFUNCTION("IMPORTRANGE(""https://docs.google.com/spreadsheets/d/1Yj_ptqi66GCucihVvJfMjLAmec39IyEx_6qawtMGysU/edit?usp=sharing"",""สบก!W22"")"),0)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IFERROR(__xludf.DUMMYFUNCTION("IMPORTRANGE(""https://docs.google.com/spreadsheets/d/1Yj_ptqi66GCucihVvJfMjLAmec39IyEx_6qawtMGysU/edit?usp=sharing"",""สบก!X22"")"),0)</f>
        <v>0</v>
      </c>
      <c r="M61" s="103"/>
      <c r="N61" s="93">
        <f ca="1">IFERROR(__xludf.DUMMYFUNCTION("IMPORTRANGE(""https://docs.google.com/spreadsheets/d/1Yj_ptqi66GCucihVvJfMjLAmec39IyEx_6qawtMGysU/edit?usp=sharing"",""สบก!AB22"")"),0)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IFERROR(__xludf.DUMMYFUNCTION("IMPORTRANGE(""https://docs.google.com/spreadsheets/d/11923uPwbBZFjjGgGUA6NLw09EwE0CqkOc4q9oUmW1yo/edit?usp=sharing"",""เชียงใหม่!I9"")"),1)</f>
        <v>1</v>
      </c>
      <c r="J64" s="148">
        <f ca="1">IFERROR(__xludf.DUMMYFUNCTION("IMPORTRANGE(""https://docs.google.com/spreadsheets/d/11923uPwbBZFjjGgGUA6NLw09EwE0CqkOc4q9oUmW1yo/edit?usp=sharing"",""เชียงใหม่!J9"")"),1)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IFERROR(__xludf.DUMMYFUNCTION("IMPORTRANGE(""https://docs.google.com/spreadsheets/d/11923uPwbBZFjjGgGUA6NLw09EwE0CqkOc4q9oUmW1yo/edit?usp=sharing"",""เชียงใหม่!I10"")"),50)</f>
        <v>50</v>
      </c>
      <c r="J65" s="148">
        <f ca="1">IFERROR(__xludf.DUMMYFUNCTION("IMPORTRANGE(""https://docs.google.com/spreadsheets/d/11923uPwbBZFjjGgGUA6NLw09EwE0CqkOc4q9oUmW1yo/edit?usp=sharing"",""เชียงใหม่!J10"")"),50)</f>
        <v>50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486000</v>
      </c>
      <c r="M66" s="158">
        <f t="shared" ca="1" si="45"/>
        <v>279620</v>
      </c>
      <c r="N66" s="158">
        <f t="shared" ca="1" si="45"/>
        <v>186913</v>
      </c>
      <c r="O66" s="157">
        <f t="shared" ref="O66:O68" ca="1" si="46">IF(L66&gt;0,N66*100/L66,0)</f>
        <v>38.459465020576133</v>
      </c>
      <c r="P66" s="157">
        <f t="shared" ref="P66:P68" ca="1" si="47">IF(M66&gt;0,N66*100/M66,0)</f>
        <v>66.845361562120019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486000</v>
      </c>
      <c r="M68" s="163">
        <f t="shared" ca="1" si="49"/>
        <v>279620</v>
      </c>
      <c r="N68" s="163">
        <f t="shared" ca="1" si="49"/>
        <v>186913</v>
      </c>
      <c r="O68" s="162">
        <f t="shared" ca="1" si="46"/>
        <v>38.459465020576133</v>
      </c>
      <c r="P68" s="162">
        <f t="shared" ca="1" si="47"/>
        <v>66.845361562120019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486000</v>
      </c>
      <c r="M70" s="176">
        <f ca="1">IFERROR(__xludf.DUMMYFUNCTION("IMPORTRANGE(""https://docs.google.com/spreadsheets/d/1Yj_ptqi66GCucihVvJfMjLAmec39IyEx_6qawtMGysU/edit?usp=sharing"",""สบก!AI22"")"),279620)</f>
        <v>279620</v>
      </c>
      <c r="N70" s="177">
        <f ca="1">IFERROR(__xludf.DUMMYFUNCTION("IMPORTRANGE(""https://docs.google.com/spreadsheets/d/1Yj_ptqi66GCucihVvJfMjLAmec39IyEx_6qawtMGysU/edit?usp=sharing"",""สบก!AJ22"")"),186913)</f>
        <v>186913</v>
      </c>
      <c r="O70" s="178">
        <f ca="1">IF(L70&gt;0,N70*100/L70,0)</f>
        <v>38.459465020576133</v>
      </c>
      <c r="P70" s="178">
        <f ca="1">IF(M70&gt;0,N70*100/M70,0)</f>
        <v>66.845361562120019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IFERROR(__xludf.DUMMYFUNCTION("IMPORTRANGE(""https://docs.google.com/spreadsheets/d/1Yj_ptqi66GCucihVvJfMjLAmec39IyEx_6qawtMGysU/edit?usp=sharing"",""สบก!AE22"")"),0)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IFERROR(__xludf.DUMMYFUNCTION("IMPORTRANGE(""https://docs.google.com/spreadsheets/d/1Yj_ptqi66GCucihVvJfMjLAmec39IyEx_6qawtMGysU/edit?usp=sharing"",""สบก!AF22"")"),486000)</f>
        <v>486000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IFERROR(__xludf.DUMMYFUNCTION("IMPORTRANGE(""https://docs.google.com/spreadsheets/d/1Yj_ptqi66GCucihVvJfMjLAmec39IyEx_6qawtMGysU/edit?usp=sharing"",""สบก!AG22"")"),0)</f>
        <v>0</v>
      </c>
      <c r="M74" s="103"/>
      <c r="N74" s="93">
        <f ca="1">IFERROR(__xludf.DUMMYFUNCTION("IMPORTRANGE(""https://docs.google.com/spreadsheets/d/1Yj_ptqi66GCucihVvJfMjLAmec39IyEx_6qawtMGysU/edit?usp=sharing"",""สบก!AK22"")"),0)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IFERROR(__xludf.DUMMYFUNCTION("IMPORTRANGE(""https://docs.google.com/spreadsheets/d/11923uPwbBZFjjGgGUA6NLw09EwE0CqkOc4q9oUmW1yo/edit?usp=sharing"",""เชียงใหม่!J16"")"),0)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IFERROR(__xludf.DUMMYFUNCTION("IMPORTRANGE(""https://docs.google.com/spreadsheets/d/11923uPwbBZFjjGgGUA6NLw09EwE0CqkOc4q9oUmW1yo/edit?usp=sharing"",""เชียงใหม่!J17"")"),1)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IFERROR(__xludf.DUMMYFUNCTION("IMPORTRANGE(""https://docs.google.com/spreadsheets/d/11923uPwbBZFjjGgGUA6NLw09EwE0CqkOc4q9oUmW1yo/edit?usp=sharing"",""เชียงใหม่!J18"")"),1)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IFERROR(__xludf.DUMMYFUNCTION("IMPORTRANGE(""https://docs.google.com/spreadsheets/d/11923uPwbBZFjjGgGUA6NLw09EwE0CqkOc4q9oUmW1yo/edit?usp=sharing"",""เชียงใหม่!J19"")"),1)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IFERROR(__xludf.DUMMYFUNCTION("IMPORTRANGE(""https://docs.google.com/spreadsheets/d/11923uPwbBZFjjGgGUA6NLw09EwE0CqkOc4q9oUmW1yo/edit?usp=sharing"",""เชียงใหม่!I20"")"),1)</f>
        <v>1</v>
      </c>
      <c r="J80" s="210">
        <f ca="1">IFERROR(__xludf.DUMMYFUNCTION("IMPORTRANGE(""https://docs.google.com/spreadsheets/d/11923uPwbBZFjjGgGUA6NLw09EwE0CqkOc4q9oUmW1yo/edit?usp=sharing"",""เชียงใหม่!J20"")"),1)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IFERROR(__xludf.DUMMYFUNCTION("IMPORTRANGE(""https://docs.google.com/spreadsheets/d/11923uPwbBZFjjGgGUA6NLw09EwE0CqkOc4q9oUmW1yo/edit?usp=sharing"",""เชียงใหม่!I21"")"),50)</f>
        <v>50</v>
      </c>
      <c r="J81" s="210">
        <f ca="1">IFERROR(__xludf.DUMMYFUNCTION("IMPORTRANGE(""https://docs.google.com/spreadsheets/d/11923uPwbBZFjjGgGUA6NLw09EwE0CqkOc4q9oUmW1yo/edit?usp=sharing"",""เชียงใหม่!J21"")"),50)</f>
        <v>50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IFERROR(__xludf.DUMMYFUNCTION("IMPORTRANGE(""https://docs.google.com/spreadsheets/d/11923uPwbBZFjjGgGUA6NLw09EwE0CqkOc4q9oUmW1yo/edit?usp=sharing"",""เชียงใหม่!I22"")"),0)</f>
        <v>0</v>
      </c>
      <c r="J82" s="213">
        <f ca="1">IFERROR(__xludf.DUMMYFUNCTION("IMPORTRANGE(""https://docs.google.com/spreadsheets/d/11923uPwbBZFjjGgGUA6NLw09EwE0CqkOc4q9oUmW1yo/edit?usp=sharing"",""เชียงใหม่!J22"")"),0)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IFERROR(__xludf.DUMMYFUNCTION("IMPORTRANGE(""https://docs.google.com/spreadsheets/d/11923uPwbBZFjjGgGUA6NLw09EwE0CqkOc4q9oUmW1yo/edit?usp=sharing"",""เชียงใหม่!I23"")"),0)</f>
        <v>0</v>
      </c>
      <c r="J83" s="213">
        <f ca="1">IFERROR(__xludf.DUMMYFUNCTION("IMPORTRANGE(""https://docs.google.com/spreadsheets/d/11923uPwbBZFjjGgGUA6NLw09EwE0CqkOc4q9oUmW1yo/edit?usp=sharing"",""เชียงใหม่!J23"")"),0)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IFERROR(__xludf.DUMMYFUNCTION("IMPORTRANGE(""https://docs.google.com/spreadsheets/d/11923uPwbBZFjjGgGUA6NLw09EwE0CqkOc4q9oUmW1yo/edit?usp=sharing"",""เชียงใหม่!I24"")"),0)</f>
        <v>0</v>
      </c>
      <c r="J84" s="198">
        <f ca="1">IFERROR(__xludf.DUMMYFUNCTION("IMPORTRANGE(""https://docs.google.com/spreadsheets/d/11923uPwbBZFjjGgGUA6NLw09EwE0CqkOc4q9oUmW1yo/edit?usp=sharing"",""เชียงใหม่!J24"")"),0)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IFERROR(__xludf.DUMMYFUNCTION("IMPORTRANGE(""https://docs.google.com/spreadsheets/d/11923uPwbBZFjjGgGUA6NLw09EwE0CqkOc4q9oUmW1yo/edit?usp=sharing"",""เชียงใหม่!I25"")"),0)</f>
        <v>0</v>
      </c>
      <c r="J85" s="198">
        <f ca="1">IFERROR(__xludf.DUMMYFUNCTION("IMPORTRANGE(""https://docs.google.com/spreadsheets/d/11923uPwbBZFjjGgGUA6NLw09EwE0CqkOc4q9oUmW1yo/edit?usp=sharing"",""เชียงใหม่!J25"")"),0)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IFERROR(__xludf.DUMMYFUNCTION("IMPORTRANGE(""https://docs.google.com/spreadsheets/d/11923uPwbBZFjjGgGUA6NLw09EwE0CqkOc4q9oUmW1yo/edit?usp=sharing"",""เชียงใหม่!I26"")"),1)</f>
        <v>1</v>
      </c>
      <c r="J86" s="213">
        <f ca="1">IFERROR(__xludf.DUMMYFUNCTION("IMPORTRANGE(""https://docs.google.com/spreadsheets/d/11923uPwbBZFjjGgGUA6NLw09EwE0CqkOc4q9oUmW1yo/edit?usp=sharing"",""เชียงใหม่!J26"")"),1)</f>
        <v>1</v>
      </c>
      <c r="K86" s="171">
        <f t="shared" ca="1" si="50"/>
        <v>100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IFERROR(__xludf.DUMMYFUNCTION("IMPORTRANGE(""https://docs.google.com/spreadsheets/d/11923uPwbBZFjjGgGUA6NLw09EwE0CqkOc4q9oUmW1yo/edit?usp=sharing"",""เชียงใหม่!I27"")"),50)</f>
        <v>50</v>
      </c>
      <c r="J87" s="213">
        <f ca="1">IFERROR(__xludf.DUMMYFUNCTION("IMPORTRANGE(""https://docs.google.com/spreadsheets/d/11923uPwbBZFjjGgGUA6NLw09EwE0CqkOc4q9oUmW1yo/edit?usp=sharing"",""เชียงใหม่!J27"")"),50)</f>
        <v>50</v>
      </c>
      <c r="K87" s="171">
        <f t="shared" ca="1" si="50"/>
        <v>100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IFERROR(__xludf.DUMMYFUNCTION("IMPORTRANGE(""https://docs.google.com/spreadsheets/d/11923uPwbBZFjjGgGUA6NLw09EwE0CqkOc4q9oUmW1yo/edit?usp=sharing"",""เชียงใหม่!I28"")"),0)</f>
        <v>0</v>
      </c>
      <c r="J88" s="213">
        <f ca="1">IFERROR(__xludf.DUMMYFUNCTION("IMPORTRANGE(""https://docs.google.com/spreadsheets/d/11923uPwbBZFjjGgGUA6NLw09EwE0CqkOc4q9oUmW1yo/edit?usp=sharing"",""เชียงใหม่!J28"")"),0)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IFERROR(__xludf.DUMMYFUNCTION("IMPORTRANGE(""https://docs.google.com/spreadsheets/d/11923uPwbBZFjjGgGUA6NLw09EwE0CqkOc4q9oUmW1yo/edit?usp=sharing"",""เชียงใหม่!J29"")"),0)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IFERROR(__xludf.DUMMYFUNCTION("IMPORTRANGE(""https://docs.google.com/spreadsheets/d/11923uPwbBZFjjGgGUA6NLw09EwE0CqkOc4q9oUmW1yo/edit?usp=sharing"",""เชียงใหม่!J30"")"),0)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IFERROR(__xludf.DUMMYFUNCTION("IMPORTRANGE(""https://docs.google.com/spreadsheets/d/11923uPwbBZFjjGgGUA6NLw09EwE0CqkOc4q9oUmW1yo/edit?usp=sharing"",""เชียงใหม่!I32"")"),4)</f>
        <v>4</v>
      </c>
      <c r="J92" s="148">
        <f ca="1">IFERROR(__xludf.DUMMYFUNCTION("IMPORTRANGE(""https://docs.google.com/spreadsheets/d/11923uPwbBZFjjGgGUA6NLw09EwE0CqkOc4q9oUmW1yo/edit?usp=sharing"",""เชียงใหม่!J32"")"),4)</f>
        <v>4</v>
      </c>
      <c r="K92" s="149">
        <f t="shared" ref="K92:K93" ca="1" si="51">IF(I92&gt;0,J92*100/I92,0)</f>
        <v>100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IFERROR(__xludf.DUMMYFUNCTION("IMPORTRANGE(""https://docs.google.com/spreadsheets/d/11923uPwbBZFjjGgGUA6NLw09EwE0CqkOc4q9oUmW1yo/edit?usp=sharing"",""เชียงใหม่!I33"")"),1)</f>
        <v>1</v>
      </c>
      <c r="J93" s="148">
        <f ca="1">IFERROR(__xludf.DUMMYFUNCTION("IMPORTRANGE(""https://docs.google.com/spreadsheets/d/11923uPwbBZFjjGgGUA6NLw09EwE0CqkOc4q9oUmW1yo/edit?usp=sharing"",""เชียงใหม่!J33"")"),0)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117560</v>
      </c>
      <c r="O94" s="157">
        <f t="shared" ref="O94:O96" ca="1" si="53">IF(L94&gt;0,N94*100/L94,0)</f>
        <v>54.806526806526804</v>
      </c>
      <c r="P94" s="157">
        <f t="shared" ref="P94:P96" ca="1" si="54">IF(M94&gt;0,N94*100/M94,0)</f>
        <v>171.04612250836607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117560</v>
      </c>
      <c r="O96" s="162">
        <f t="shared" ca="1" si="53"/>
        <v>54.806526806526804</v>
      </c>
      <c r="P96" s="162">
        <f t="shared" ca="1" si="54"/>
        <v>171.04612250836607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IFERROR(__xludf.DUMMYFUNCTION("IMPORTRANGE(""https://docs.google.com/spreadsheets/d/1Yj_ptqi66GCucihVvJfMjLAmec39IyEx_6qawtMGysU/edit?usp=sharing"",""สบก!AR22"")"),68730)</f>
        <v>68730</v>
      </c>
      <c r="N98" s="177">
        <f ca="1">IFERROR(__xludf.DUMMYFUNCTION("IMPORTRANGE(""https://docs.google.com/spreadsheets/d/1Yj_ptqi66GCucihVvJfMjLAmec39IyEx_6qawtMGysU/edit?usp=sharing"",""สบก!AS22"")"),25160)</f>
        <v>25160</v>
      </c>
      <c r="O98" s="178">
        <f ca="1">IF(L98&gt;0,N98*100/L98,0)</f>
        <v>20.606060606060606</v>
      </c>
      <c r="P98" s="178">
        <f ca="1">IF(M98&gt;0,N98*100/M98,0)</f>
        <v>36.607012949221591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IFERROR(__xludf.DUMMYFUNCTION("IMPORTRANGE(""https://docs.google.com/spreadsheets/d/1Yj_ptqi66GCucihVvJfMjLAmec39IyEx_6qawtMGysU/edit?usp=sharing"",""สบก!AN22"")"),0)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IFERROR(__xludf.DUMMYFUNCTION("IMPORTRANGE(""https://docs.google.com/spreadsheets/d/1Yj_ptqi66GCucihVvJfMjLAmec39IyEx_6qawtMGysU/edit?usp=sharing"",""สบก!AO22"")"),122100)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IFERROR(__xludf.DUMMYFUNCTION("IMPORTRANGE(""https://docs.google.com/spreadsheets/d/1Yj_ptqi66GCucihVvJfMjLAmec39IyEx_6qawtMGysU/edit?usp=sharing"",""สบก!AP22"")"),92400)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IFERROR(__xludf.DUMMYFUNCTION("IMPORTRANGE(""https://docs.google.com/spreadsheets/d/1Yj_ptqi66GCucihVvJfMjLAmec39IyEx_6qawtMGysU/edit?usp=sharing"",""สบก!AT22"")"),92400)</f>
        <v>92400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IFERROR(__xludf.DUMMYFUNCTION("IMPORTRANGE(""https://docs.google.com/spreadsheets/d/11923uPwbBZFjjGgGUA6NLw09EwE0CqkOc4q9oUmW1yo/edit?usp=sharing"",""เชียงใหม่!J39"")"),0)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IFERROR(__xludf.DUMMYFUNCTION("IMPORTRANGE(""https://docs.google.com/spreadsheets/d/11923uPwbBZFjjGgGUA6NLw09EwE0CqkOc4q9oUmW1yo/edit?usp=sharing"",""เชียงใหม่!J40"")"),1)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IFERROR(__xludf.DUMMYFUNCTION("IMPORTRANGE(""https://docs.google.com/spreadsheets/d/11923uPwbBZFjjGgGUA6NLw09EwE0CqkOc4q9oUmW1yo/edit?usp=sharing"",""เชียงใหม่!J41"")"),1)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IFERROR(__xludf.DUMMYFUNCTION("IMPORTRANGE(""https://docs.google.com/spreadsheets/d/11923uPwbBZFjjGgGUA6NLw09EwE0CqkOc4q9oUmW1yo/edit?usp=sharing"",""เชียงใหม่!J42"")"),1)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IFERROR(__xludf.DUMMYFUNCTION("IMPORTRANGE(""https://docs.google.com/spreadsheets/d/11923uPwbBZFjjGgGUA6NLw09EwE0CqkOc4q9oUmW1yo/edit?usp=sharing"",""เชียงใหม่!I43"")"),1)</f>
        <v>1</v>
      </c>
      <c r="J108" s="213">
        <f ca="1">IFERROR(__xludf.DUMMYFUNCTION("IMPORTRANGE(""https://docs.google.com/spreadsheets/d/11923uPwbBZFjjGgGUA6NLw09EwE0CqkOc4q9oUmW1yo/edit?usp=sharing"",""เชียงใหม่!J43"")"),1)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IFERROR(__xludf.DUMMYFUNCTION("IMPORTRANGE(""https://docs.google.com/spreadsheets/d/11923uPwbBZFjjGgGUA6NLw09EwE0CqkOc4q9oUmW1yo/edit?usp=sharing"",""เชียงใหม่!I44"")"),4)</f>
        <v>4</v>
      </c>
      <c r="J109" s="213">
        <f ca="1">IFERROR(__xludf.DUMMYFUNCTION("IMPORTRANGE(""https://docs.google.com/spreadsheets/d/11923uPwbBZFjjGgGUA6NLw09EwE0CqkOc4q9oUmW1yo/edit?usp=sharing"",""เชียงใหม่!J44"")"),4)</f>
        <v>4</v>
      </c>
      <c r="K109" s="233">
        <f t="shared" ca="1" si="57"/>
        <v>100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IFERROR(__xludf.DUMMYFUNCTION("IMPORTRANGE(""https://docs.google.com/spreadsheets/d/11923uPwbBZFjjGgGUA6NLw09EwE0CqkOc4q9oUmW1yo/edit?usp=sharing"",""เชียงใหม่!I45"")"),4)</f>
        <v>4</v>
      </c>
      <c r="J110" s="213">
        <f ca="1">IFERROR(__xludf.DUMMYFUNCTION("IMPORTRANGE(""https://docs.google.com/spreadsheets/d/11923uPwbBZFjjGgGUA6NLw09EwE0CqkOc4q9oUmW1yo/edit?usp=sharing"",""เชียงใหม่!J45"")"),4)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IFERROR(__xludf.DUMMYFUNCTION("IMPORTRANGE(""https://docs.google.com/spreadsheets/d/11923uPwbBZFjjGgGUA6NLw09EwE0CqkOc4q9oUmW1yo/edit?usp=sharing"",""เชียงใหม่!I46"")"),4)</f>
        <v>4</v>
      </c>
      <c r="J111" s="213">
        <f ca="1">IFERROR(__xludf.DUMMYFUNCTION("IMPORTRANGE(""https://docs.google.com/spreadsheets/d/11923uPwbBZFjjGgGUA6NLw09EwE0CqkOc4q9oUmW1yo/edit?usp=sharing"",""เชียงใหม่!J46"")"),4)</f>
        <v>4</v>
      </c>
      <c r="K111" s="233">
        <f t="shared" ca="1" si="57"/>
        <v>100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IFERROR(__xludf.DUMMYFUNCTION("IMPORTRANGE(""https://docs.google.com/spreadsheets/d/11923uPwbBZFjjGgGUA6NLw09EwE0CqkOc4q9oUmW1yo/edit?usp=sharing"",""เชียงใหม่!I47"")"),4)</f>
        <v>4</v>
      </c>
      <c r="J112" s="213">
        <f ca="1">IFERROR(__xludf.DUMMYFUNCTION("IMPORTRANGE(""https://docs.google.com/spreadsheets/d/11923uPwbBZFjjGgGUA6NLw09EwE0CqkOc4q9oUmW1yo/edit?usp=sharing"",""เชียงใหม่!J47"")"),0)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IFERROR(__xludf.DUMMYFUNCTION("IMPORTRANGE(""https://docs.google.com/spreadsheets/d/11923uPwbBZFjjGgGUA6NLw09EwE0CqkOc4q9oUmW1yo/edit?usp=sharing"",""เชียงใหม่!I48"")"),1)</f>
        <v>1</v>
      </c>
      <c r="J113" s="213">
        <f ca="1">IFERROR(__xludf.DUMMYFUNCTION("IMPORTRANGE(""https://docs.google.com/spreadsheets/d/11923uPwbBZFjjGgGUA6NLw09EwE0CqkOc4q9oUmW1yo/edit?usp=sharing"",""เชียงใหม่!J48"")"),0)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IFERROR(__xludf.DUMMYFUNCTION("IMPORTRANGE(""https://docs.google.com/spreadsheets/d/11923uPwbBZFjjGgGUA6NLw09EwE0CqkOc4q9oUmW1yo/edit?usp=sharing"",""เชียงใหม่!J49"")"),0)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IFERROR(__xludf.DUMMYFUNCTION("IMPORTRANGE(""https://docs.google.com/spreadsheets/d/11923uPwbBZFjjGgGUA6NLw09EwE0CqkOc4q9oUmW1yo/edit?usp=sharing"",""เชียงใหม่!J50"")"),0)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IFERROR(__xludf.DUMMYFUNCTION("IMPORTRANGE(""https://docs.google.com/spreadsheets/d/11923uPwbBZFjjGgGUA6NLw09EwE0CqkOc4q9oUmW1yo/edit?usp=sharing"",""เชียงใหม่!I52"")"),0)</f>
        <v>0</v>
      </c>
      <c r="J117" s="148">
        <f ca="1">IFERROR(__xludf.DUMMYFUNCTION("IMPORTRANGE(""https://docs.google.com/spreadsheets/d/11923uPwbBZFjjGgGUA6NLw09EwE0CqkOc4q9oUmW1yo/edit?usp=sharing"",""เชียงใหม่!J52"")"),0)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IFERROR(__xludf.DUMMYFUNCTION("IMPORTRANGE(""https://docs.google.com/spreadsheets/d/1Yj_ptqi66GCucihVvJfMjLAmec39IyEx_6qawtMGysU/edit?usp=sharing"",""สบก!BA22"")"),0)</f>
        <v>0</v>
      </c>
      <c r="N122" s="177">
        <f ca="1">IFERROR(__xludf.DUMMYFUNCTION("IMPORTRANGE(""https://docs.google.com/spreadsheets/d/1Yj_ptqi66GCucihVvJfMjLAmec39IyEx_6qawtMGysU/edit?usp=sharing"",""สบก!BB22"")"),0)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IFERROR(__xludf.DUMMYFUNCTION("IMPORTRANGE(""https://docs.google.com/spreadsheets/d/1Yj_ptqi66GCucihVvJfMjLAmec39IyEx_6qawtMGysU/edit?usp=sharing"",""สบก!AW22"")"),0)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IFERROR(__xludf.DUMMYFUNCTION("IMPORTRANGE(""https://docs.google.com/spreadsheets/d/1Yj_ptqi66GCucihVvJfMjLAmec39IyEx_6qawtMGysU/edit?usp=sharing"",""สบก!AX22"")"),0)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IFERROR(__xludf.DUMMYFUNCTION("IMPORTRANGE(""https://docs.google.com/spreadsheets/d/1Yj_ptqi66GCucihVvJfMjLAmec39IyEx_6qawtMGysU/edit?usp=sharing"",""สบก!AY22"")"),0)</f>
        <v>0</v>
      </c>
      <c r="M126" s="103"/>
      <c r="N126" s="93">
        <f ca="1">IFERROR(__xludf.DUMMYFUNCTION("IMPORTRANGE(""https://docs.google.com/spreadsheets/d/1Yj_ptqi66GCucihVvJfMjLAmec39IyEx_6qawtMGysU/edit?usp=sharing"",""สบก!BC22"")"),0)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243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IFERROR(__xludf.DUMMYFUNCTION("IMPORTRANGE(""https://docs.google.com/spreadsheets/d/11923uPwbBZFjjGgGUA6NLw09EwE0CqkOc4q9oUmW1yo/edit?usp=sharing"",""เชียงใหม่!J58"")"),0)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IFERROR(__xludf.DUMMYFUNCTION("IMPORTRANGE(""https://docs.google.com/spreadsheets/d/11923uPwbBZFjjGgGUA6NLw09EwE0CqkOc4q9oUmW1yo/edit?usp=sharing"",""เชียงใหม่!J59"")"),0)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IFERROR(__xludf.DUMMYFUNCTION("IMPORTRANGE(""https://docs.google.com/spreadsheets/d/11923uPwbBZFjjGgGUA6NLw09EwE0CqkOc4q9oUmW1yo/edit?usp=sharing"",""เชียงใหม่!J60"")"),0)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IFERROR(__xludf.DUMMYFUNCTION("IMPORTRANGE(""https://docs.google.com/spreadsheets/d/11923uPwbBZFjjGgGUA6NLw09EwE0CqkOc4q9oUmW1yo/edit?usp=sharing"",""เชียงใหม่!J61"")"),0)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IFERROR(__xludf.DUMMYFUNCTION("IMPORTRANGE(""https://docs.google.com/spreadsheets/d/11923uPwbBZFjjGgGUA6NLw09EwE0CqkOc4q9oUmW1yo/edit?usp=sharing"",""เชียงใหม่!I62"")"),0)</f>
        <v>0</v>
      </c>
      <c r="J132" s="213">
        <f ca="1">IFERROR(__xludf.DUMMYFUNCTION("IMPORTRANGE(""https://docs.google.com/spreadsheets/d/11923uPwbBZFjjGgGUA6NLw09EwE0CqkOc4q9oUmW1yo/edit?usp=sharing"",""เชียงใหม่!J62"")"),0)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IFERROR(__xludf.DUMMYFUNCTION("IMPORTRANGE(""https://docs.google.com/spreadsheets/d/11923uPwbBZFjjGgGUA6NLw09EwE0CqkOc4q9oUmW1yo/edit?usp=sharing"",""เชียงใหม่!I63"")"),0)</f>
        <v>0</v>
      </c>
      <c r="J133" s="213">
        <f ca="1">IFERROR(__xludf.DUMMYFUNCTION("IMPORTRANGE(""https://docs.google.com/spreadsheets/d/11923uPwbBZFjjGgGUA6NLw09EwE0CqkOc4q9oUmW1yo/edit?usp=sharing"",""เชียงใหม่!J63"")"),0)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IFERROR(__xludf.DUMMYFUNCTION("IMPORTRANGE(""https://docs.google.com/spreadsheets/d/11923uPwbBZFjjGgGUA6NLw09EwE0CqkOc4q9oUmW1yo/edit?usp=sharing"",""เชียงใหม่!J64"")"),0)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IFERROR(__xludf.DUMMYFUNCTION("IMPORTRANGE(""https://docs.google.com/spreadsheets/d/11923uPwbBZFjjGgGUA6NLw09EwE0CqkOc4q9oUmW1yo/edit?usp=sharing"",""เชียงใหม่!J65"")"),0)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IFERROR(__xludf.DUMMYFUNCTION("IMPORTRANGE(""https://docs.google.com/spreadsheets/d/11923uPwbBZFjjGgGUA6NLw09EwE0CqkOc4q9oUmW1yo/edit?usp=sharing"",""เชียงใหม่!I68"")"),100)</f>
        <v>100</v>
      </c>
      <c r="J138" s="276">
        <f ca="1">IFERROR(__xludf.DUMMYFUNCTION("IMPORTRANGE(""https://docs.google.com/spreadsheets/d/11923uPwbBZFjjGgGUA6NLw09EwE0CqkOc4q9oUmW1yo/edit?usp=sharing"",""เชียงใหม่!J68"")"),100)</f>
        <v>100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891700</v>
      </c>
      <c r="M140" s="158">
        <f t="shared" ca="1" si="64"/>
        <v>455150</v>
      </c>
      <c r="N140" s="158">
        <f t="shared" ca="1" si="64"/>
        <v>240291</v>
      </c>
      <c r="O140" s="157">
        <f t="shared" ref="O140:O142" ca="1" si="65">IF(L140&gt;0,N140*100/L140,0)</f>
        <v>26.947515980711003</v>
      </c>
      <c r="P140" s="157">
        <f t="shared" ref="P140:P142" ca="1" si="66">IF(M140&gt;0,N140*100/M140,0)</f>
        <v>52.793804240360323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891700</v>
      </c>
      <c r="M142" s="163">
        <f t="shared" ca="1" si="68"/>
        <v>455150</v>
      </c>
      <c r="N142" s="163">
        <f t="shared" ca="1" si="68"/>
        <v>240291</v>
      </c>
      <c r="O142" s="162">
        <f t="shared" ca="1" si="65"/>
        <v>26.947515980711003</v>
      </c>
      <c r="P142" s="162">
        <f t="shared" ca="1" si="66"/>
        <v>52.793804240360323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891700</v>
      </c>
      <c r="M144" s="176">
        <f ca="1">IFERROR(__xludf.DUMMYFUNCTION("IMPORTRANGE(""https://docs.google.com/spreadsheets/d/1Yj_ptqi66GCucihVvJfMjLAmec39IyEx_6qawtMGysU/edit?usp=sharing"",""สบก!BJ22"")"),455150)</f>
        <v>455150</v>
      </c>
      <c r="N144" s="177">
        <f ca="1">IFERROR(__xludf.DUMMYFUNCTION("IMPORTRANGE(""https://docs.google.com/spreadsheets/d/1Yj_ptqi66GCucihVvJfMjLAmec39IyEx_6qawtMGysU/edit?usp=sharing"",""สบก!BK22"")"),240291)</f>
        <v>240291</v>
      </c>
      <c r="O144" s="178">
        <f ca="1">IF(L144&gt;0,N144*100/L144,0)</f>
        <v>26.947515980711003</v>
      </c>
      <c r="P144" s="178">
        <f ca="1">IF(M144&gt;0,N144*100/M144,0)</f>
        <v>52.793804240360323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IFERROR(__xludf.DUMMYFUNCTION("IMPORTRANGE(""https://docs.google.com/spreadsheets/d/1Yj_ptqi66GCucihVvJfMjLAmec39IyEx_6qawtMGysU/edit?usp=sharing"",""สบก!BF22"")"),331400)</f>
        <v>331400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IFERROR(__xludf.DUMMYFUNCTION("IMPORTRANGE(""https://docs.google.com/spreadsheets/d/1Yj_ptqi66GCucihVvJfMjLAmec39IyEx_6qawtMGysU/edit?usp=sharing"",""สบก!BG22"")"),560300)</f>
        <v>560300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IFERROR(__xludf.DUMMYFUNCTION("IMPORTRANGE(""https://docs.google.com/spreadsheets/d/1Yj_ptqi66GCucihVvJfMjLAmec39IyEx_6qawtMGysU/edit?usp=sharing"",""สบก!BH22"")"),0)</f>
        <v>0</v>
      </c>
      <c r="M148" s="103"/>
      <c r="N148" s="93">
        <f ca="1">IFERROR(__xludf.DUMMYFUNCTION("IMPORTRANGE(""https://docs.google.com/spreadsheets/d/1Yj_ptqi66GCucihVvJfMjLAmec39IyEx_6qawtMGysU/edit?usp=sharing"",""สบก!BL22"")"),0)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IFERROR(__xludf.DUMMYFUNCTION("IMPORTRANGE(""https://docs.google.com/spreadsheets/d/11923uPwbBZFjjGgGUA6NLw09EwE0CqkOc4q9oUmW1yo/edit?usp=sharing"",""เชียงใหม่!I74"")"),4)</f>
        <v>4</v>
      </c>
      <c r="J149" s="284">
        <f ca="1">IFERROR(__xludf.DUMMYFUNCTION("IMPORTRANGE(""https://docs.google.com/spreadsheets/d/11923uPwbBZFjjGgGUA6NLw09EwE0CqkOc4q9oUmW1yo/edit?usp=sharing"",""เชียงใหม่!J74"")"),1)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IFERROR(__xludf.DUMMYFUNCTION("IMPORTRANGE(""https://docs.google.com/spreadsheets/d/11923uPwbBZFjjGgGUA6NLw09EwE0CqkOc4q9oUmW1yo/edit?usp=sharing"",""เชียงใหม่!J79"")"),0)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IFERROR(__xludf.DUMMYFUNCTION("IMPORTRANGE(""https://docs.google.com/spreadsheets/d/11923uPwbBZFjjGgGUA6NLw09EwE0CqkOc4q9oUmW1yo/edit?usp=sharing"",""เชียงใหม่!J80"")"),1)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IFERROR(__xludf.DUMMYFUNCTION("IMPORTRANGE(""https://docs.google.com/spreadsheets/d/11923uPwbBZFjjGgGUA6NLw09EwE0CqkOc4q9oUmW1yo/edit?usp=sharing"",""เชียงใหม่!J81"")"),1)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IFERROR(__xludf.DUMMYFUNCTION("IMPORTRANGE(""https://docs.google.com/spreadsheets/d/11923uPwbBZFjjGgGUA6NLw09EwE0CqkOc4q9oUmW1yo/edit?usp=sharing"",""เชียงใหม่!J82"")"),1)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IFERROR(__xludf.DUMMYFUNCTION("IMPORTRANGE(""https://docs.google.com/spreadsheets/d/11923uPwbBZFjjGgGUA6NLw09EwE0CqkOc4q9oUmW1yo/edit?usp=sharing"",""เชียงใหม่!I83"")"),4)</f>
        <v>4</v>
      </c>
      <c r="J158" s="198">
        <f ca="1">IFERROR(__xludf.DUMMYFUNCTION("IMPORTRANGE(""https://docs.google.com/spreadsheets/d/11923uPwbBZFjjGgGUA6NLw09EwE0CqkOc4q9oUmW1yo/edit?usp=sharing"",""เชียงใหม่!J83"")"),1)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IFERROR(__xludf.DUMMYFUNCTION("IMPORTRANGE(""https://docs.google.com/spreadsheets/d/11923uPwbBZFjjGgGUA6NLw09EwE0CqkOc4q9oUmW1yo/edit?usp=sharing"",""เชียงใหม่!J84"")"),19)</f>
        <v>19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IFERROR(__xludf.DUMMYFUNCTION("IMPORTRANGE(""https://docs.google.com/spreadsheets/d/11923uPwbBZFjjGgGUA6NLw09EwE0CqkOc4q9oUmW1yo/edit?usp=sharing"",""เชียงใหม่!J85"")"),19)</f>
        <v>19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IFERROR(__xludf.DUMMYFUNCTION("IMPORTRANGE(""https://docs.google.com/spreadsheets/d/11923uPwbBZFjjGgGUA6NLw09EwE0CqkOc4q9oUmW1yo/edit?usp=sharing"",""เชียงใหม่!J86"")"),0)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IFERROR(__xludf.DUMMYFUNCTION("IMPORTRANGE(""https://docs.google.com/spreadsheets/d/11923uPwbBZFjjGgGUA6NLw09EwE0CqkOc4q9oUmW1yo/edit?usp=sharing"",""เชียงใหม่!J87"")"),0)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IFERROR(__xludf.DUMMYFUNCTION("IMPORTRANGE(""https://docs.google.com/spreadsheets/d/11923uPwbBZFjjGgGUA6NLw09EwE0CqkOc4q9oUmW1yo/edit?usp=sharing"",""เชียงใหม่!J88"")"),0)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IFERROR(__xludf.DUMMYFUNCTION("IMPORTRANGE(""https://docs.google.com/spreadsheets/d/11923uPwbBZFjjGgGUA6NLw09EwE0CqkOc4q9oUmW1yo/edit?usp=sharing"",""เชียงใหม่!I89"")"),2)</f>
        <v>2</v>
      </c>
      <c r="J164" s="292">
        <f ca="1">IFERROR(__xludf.DUMMYFUNCTION("IMPORTRANGE(""https://docs.google.com/spreadsheets/d/11923uPwbBZFjjGgGUA6NLw09EwE0CqkOc4q9oUmW1yo/edit?usp=sharing"",""เชียงใหม่!J89"")"),0)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IFERROR(__xludf.DUMMYFUNCTION("IMPORTRANGE(""https://docs.google.com/spreadsheets/d/11923uPwbBZFjjGgGUA6NLw09EwE0CqkOc4q9oUmW1yo/edit?usp=sharing"",""เชียงใหม่!J94"")"),0)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IFERROR(__xludf.DUMMYFUNCTION("IMPORTRANGE(""https://docs.google.com/spreadsheets/d/11923uPwbBZFjjGgGUA6NLw09EwE0CqkOc4q9oUmW1yo/edit?usp=sharing"",""เชียงใหม่!J95"")"),1)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IFERROR(__xludf.DUMMYFUNCTION("IMPORTRANGE(""https://docs.google.com/spreadsheets/d/11923uPwbBZFjjGgGUA6NLw09EwE0CqkOc4q9oUmW1yo/edit?usp=sharing"",""เชียงใหม่!J96"")"),1)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IFERROR(__xludf.DUMMYFUNCTION("IMPORTRANGE(""https://docs.google.com/spreadsheets/d/11923uPwbBZFjjGgGUA6NLw09EwE0CqkOc4q9oUmW1yo/edit?usp=sharing"",""เชียงใหม่!J97"")"),1)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IFERROR(__xludf.DUMMYFUNCTION("IMPORTRANGE(""https://docs.google.com/spreadsheets/d/11923uPwbBZFjjGgGUA6NLw09EwE0CqkOc4q9oUmW1yo/edit?usp=sharing"",""เชียงใหม่!I98"")"),2)</f>
        <v>2</v>
      </c>
      <c r="J173" s="198">
        <f ca="1">IFERROR(__xludf.DUMMYFUNCTION("IMPORTRANGE(""https://docs.google.com/spreadsheets/d/11923uPwbBZFjjGgGUA6NLw09EwE0CqkOc4q9oUmW1yo/edit?usp=sharing"",""เชียงใหม่!J98"")"),0)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IFERROR(__xludf.DUMMYFUNCTION("IMPORTRANGE(""https://docs.google.com/spreadsheets/d/11923uPwbBZFjjGgGUA6NLw09EwE0CqkOc4q9oUmW1yo/edit?usp=sharing"",""เชียงใหม่!J99"")"),0)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IFERROR(__xludf.DUMMYFUNCTION("IMPORTRANGE(""https://docs.google.com/spreadsheets/d/11923uPwbBZFjjGgGUA6NLw09EwE0CqkOc4q9oUmW1yo/edit?usp=sharing"",""เชียงใหม่!J100"")"),0)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IFERROR(__xludf.DUMMYFUNCTION("IMPORTRANGE(""https://docs.google.com/spreadsheets/d/11923uPwbBZFjjGgGUA6NLw09EwE0CqkOc4q9oUmW1yo/edit?usp=sharing"",""เชียงใหม่!I101"")"),1)</f>
        <v>1</v>
      </c>
      <c r="J176" s="292">
        <f ca="1">IFERROR(__xludf.DUMMYFUNCTION("IMPORTRANGE(""https://docs.google.com/spreadsheets/d/11923uPwbBZFjjGgGUA6NLw09EwE0CqkOc4q9oUmW1yo/edit?usp=sharing"",""เชียงใหม่!J101"")"),1)</f>
        <v>1</v>
      </c>
      <c r="K176" s="293">
        <f ca="1">IF(I176&gt;0,J176*100/I176,0)</f>
        <v>100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IFERROR(__xludf.DUMMYFUNCTION("IMPORTRANGE(""https://docs.google.com/spreadsheets/d/11923uPwbBZFjjGgGUA6NLw09EwE0CqkOc4q9oUmW1yo/edit?usp=sharing"",""เชียงใหม่!J106"")"),0)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IFERROR(__xludf.DUMMYFUNCTION("IMPORTRANGE(""https://docs.google.com/spreadsheets/d/11923uPwbBZFjjGgGUA6NLw09EwE0CqkOc4q9oUmW1yo/edit?usp=sharing"",""เชียงใหม่!J107"")"),1)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IFERROR(__xludf.DUMMYFUNCTION("IMPORTRANGE(""https://docs.google.com/spreadsheets/d/11923uPwbBZFjjGgGUA6NLw09EwE0CqkOc4q9oUmW1yo/edit?usp=sharing"",""เชียงใหม่!J108"")"),1)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IFERROR(__xludf.DUMMYFUNCTION("IMPORTRANGE(""https://docs.google.com/spreadsheets/d/11923uPwbBZFjjGgGUA6NLw09EwE0CqkOc4q9oUmW1yo/edit?usp=sharing"",""เชียงใหม่!J109"")"),1)</f>
        <v>1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IFERROR(__xludf.DUMMYFUNCTION("IMPORTRANGE(""https://docs.google.com/spreadsheets/d/11923uPwbBZFjjGgGUA6NLw09EwE0CqkOc4q9oUmW1yo/edit?usp=sharing"",""เชียงใหม่!I110"")"),1)</f>
        <v>1</v>
      </c>
      <c r="J185" s="213">
        <f ca="1">IFERROR(__xludf.DUMMYFUNCTION("IMPORTRANGE(""https://docs.google.com/spreadsheets/d/11923uPwbBZFjjGgGUA6NLw09EwE0CqkOc4q9oUmW1yo/edit?usp=sharing"",""เชียงใหม่!J110"")"),0)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IFERROR(__xludf.DUMMYFUNCTION("IMPORTRANGE(""https://docs.google.com/spreadsheets/d/11923uPwbBZFjjGgGUA6NLw09EwE0CqkOc4q9oUmW1yo/edit?usp=sharing"",""เชียงใหม่!I111"")"),1)</f>
        <v>1</v>
      </c>
      <c r="J186" s="213">
        <f ca="1">IFERROR(__xludf.DUMMYFUNCTION("IMPORTRANGE(""https://docs.google.com/spreadsheets/d/11923uPwbBZFjjGgGUA6NLw09EwE0CqkOc4q9oUmW1yo/edit?usp=sharing"",""เชียงใหม่!J111"")"),1)</f>
        <v>1</v>
      </c>
      <c r="K186" s="233">
        <f t="shared" ca="1" si="69"/>
        <v>100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IFERROR(__xludf.DUMMYFUNCTION("IMPORTRANGE(""https://docs.google.com/spreadsheets/d/11923uPwbBZFjjGgGUA6NLw09EwE0CqkOc4q9oUmW1yo/edit?usp=sharing"",""เชียงใหม่!J112"")"),0)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IFERROR(__xludf.DUMMYFUNCTION("IMPORTRANGE(""https://docs.google.com/spreadsheets/d/11923uPwbBZFjjGgGUA6NLw09EwE0CqkOc4q9oUmW1yo/edit?usp=sharing"",""เชียงใหม่!J113"")"),0)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IFERROR(__xludf.DUMMYFUNCTION("IMPORTRANGE(""https://docs.google.com/spreadsheets/d/11923uPwbBZFjjGgGUA6NLw09EwE0CqkOc4q9oUmW1yo/edit?usp=sharing"",""เชียงใหม่!I114"")"),16000)</f>
        <v>16000</v>
      </c>
      <c r="J189" s="292">
        <f ca="1">IFERROR(__xludf.DUMMYFUNCTION("IMPORTRANGE(""https://docs.google.com/spreadsheets/d/11923uPwbBZFjjGgGUA6NLw09EwE0CqkOc4q9oUmW1yo/edit?usp=sharing"",""เชียงใหม่!J114"")"),0)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IFERROR(__xludf.DUMMYFUNCTION("IMPORTRANGE(""https://docs.google.com/spreadsheets/d/11923uPwbBZFjjGgGUA6NLw09EwE0CqkOc4q9oUmW1yo/edit?usp=sharing"",""เชียงใหม่!J119"")"),0)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IFERROR(__xludf.DUMMYFUNCTION("IMPORTRANGE(""https://docs.google.com/spreadsheets/d/11923uPwbBZFjjGgGUA6NLw09EwE0CqkOc4q9oUmW1yo/edit?usp=sharing"",""เชียงใหม่!J120"")"),1)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IFERROR(__xludf.DUMMYFUNCTION("IMPORTRANGE(""https://docs.google.com/spreadsheets/d/11923uPwbBZFjjGgGUA6NLw09EwE0CqkOc4q9oUmW1yo/edit?usp=sharing"",""เชียงใหม่!J121"")"),1)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IFERROR(__xludf.DUMMYFUNCTION("IMPORTRANGE(""https://docs.google.com/spreadsheets/d/11923uPwbBZFjjGgGUA6NLw09EwE0CqkOc4q9oUmW1yo/edit?usp=sharing"",""เชียงใหม่!J122"")"),1)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IFERROR(__xludf.DUMMYFUNCTION("IMPORTRANGE(""https://docs.google.com/spreadsheets/d/11923uPwbBZFjjGgGUA6NLw09EwE0CqkOc4q9oUmW1yo/edit?usp=sharing"",""เชียงใหม่!I124"")"),16000)</f>
        <v>16000</v>
      </c>
      <c r="J199" s="198">
        <f ca="1">IFERROR(__xludf.DUMMYFUNCTION("IMPORTRANGE(""https://docs.google.com/spreadsheets/d/11923uPwbBZFjjGgGUA6NLw09EwE0CqkOc4q9oUmW1yo/edit?usp=sharing"",""เชียงใหม่!J124"")"),16000)</f>
        <v>16000</v>
      </c>
      <c r="K199" s="171">
        <f t="shared" ref="K199:K201" ca="1" si="70">IF(I199&gt;0,J199*100/I199,0)</f>
        <v>100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IFERROR(__xludf.DUMMYFUNCTION("IMPORTRANGE(""https://docs.google.com/spreadsheets/d/11923uPwbBZFjjGgGUA6NLw09EwE0CqkOc4q9oUmW1yo/edit?usp=sharing"",""เชียงใหม่!I125"")"),16000)</f>
        <v>16000</v>
      </c>
      <c r="J200" s="198">
        <f ca="1">IFERROR(__xludf.DUMMYFUNCTION("IMPORTRANGE(""https://docs.google.com/spreadsheets/d/11923uPwbBZFjjGgGUA6NLw09EwE0CqkOc4q9oUmW1yo/edit?usp=sharing"",""เชียงใหม่!J125"")"),0)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IFERROR(__xludf.DUMMYFUNCTION("IMPORTRANGE(""https://docs.google.com/spreadsheets/d/11923uPwbBZFjjGgGUA6NLw09EwE0CqkOc4q9oUmW1yo/edit?usp=sharing"",""เชียงใหม่!I126"")"),0)</f>
        <v>0</v>
      </c>
      <c r="J201" s="198">
        <f ca="1">IFERROR(__xludf.DUMMYFUNCTION("IMPORTRANGE(""https://docs.google.com/spreadsheets/d/11923uPwbBZFjjGgGUA6NLw09EwE0CqkOc4q9oUmW1yo/edit?usp=sharing"",""เชียงใหม่!J126"")"),0)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IFERROR(__xludf.DUMMYFUNCTION("IMPORTRANGE(""https://docs.google.com/spreadsheets/d/11923uPwbBZFjjGgGUA6NLw09EwE0CqkOc4q9oUmW1yo/edit?usp=sharing"",""เชียงใหม่!J127"")"),0)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IFERROR(__xludf.DUMMYFUNCTION("IMPORTRANGE(""https://docs.google.com/spreadsheets/d/11923uPwbBZFjjGgGUA6NLw09EwE0CqkOc4q9oUmW1yo/edit?usp=sharing"",""เชียงใหม่!J128"")"),0)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IFERROR(__xludf.DUMMYFUNCTION("IMPORTRANGE(""https://docs.google.com/spreadsheets/d/11923uPwbBZFjjGgGUA6NLw09EwE0CqkOc4q9oUmW1yo/edit?usp=sharing"",""เชียงใหม่!I129"")"),100)</f>
        <v>100</v>
      </c>
      <c r="J204" s="292">
        <f ca="1">IFERROR(__xludf.DUMMYFUNCTION("IMPORTRANGE(""https://docs.google.com/spreadsheets/d/11923uPwbBZFjjGgGUA6NLw09EwE0CqkOc4q9oUmW1yo/edit?usp=sharing"",""เชียงใหม่!J129"")"),100)</f>
        <v>100</v>
      </c>
      <c r="K204" s="293">
        <f ca="1">IF(I204&gt;0,J204*100/I204,0)</f>
        <v>100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IFERROR(__xludf.DUMMYFUNCTION("IMPORTRANGE(""https://docs.google.com/spreadsheets/d/11923uPwbBZFjjGgGUA6NLw09EwE0CqkOc4q9oUmW1yo/edit?usp=sharing"",""เชียงใหม่!J134"")"),0)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IFERROR(__xludf.DUMMYFUNCTION("IMPORTRANGE(""https://docs.google.com/spreadsheets/d/11923uPwbBZFjjGgGUA6NLw09EwE0CqkOc4q9oUmW1yo/edit?usp=sharing"",""เชียงใหม่!J135"")"),1)</f>
        <v>1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IFERROR(__xludf.DUMMYFUNCTION("IMPORTRANGE(""https://docs.google.com/spreadsheets/d/11923uPwbBZFjjGgGUA6NLw09EwE0CqkOc4q9oUmW1yo/edit?usp=sharing"",""เชียงใหม่!J136"")"),1)</f>
        <v>1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IFERROR(__xludf.DUMMYFUNCTION("IMPORTRANGE(""https://docs.google.com/spreadsheets/d/11923uPwbBZFjjGgGUA6NLw09EwE0CqkOc4q9oUmW1yo/edit?usp=sharing"",""เชียงใหม่!J137"")"),1)</f>
        <v>1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IFERROR(__xludf.DUMMYFUNCTION("IMPORTRANGE(""https://docs.google.com/spreadsheets/d/11923uPwbBZFjjGgGUA6NLw09EwE0CqkOc4q9oUmW1yo/edit?usp=sharing"",""เชียงใหม่!I138"")"),100)</f>
        <v>100</v>
      </c>
      <c r="J213" s="213">
        <f ca="1">IFERROR(__xludf.DUMMYFUNCTION("IMPORTRANGE(""https://docs.google.com/spreadsheets/d/11923uPwbBZFjjGgGUA6NLw09EwE0CqkOc4q9oUmW1yo/edit?usp=sharing"",""เชียงใหม่!J138"")"),100)</f>
        <v>100</v>
      </c>
      <c r="K213" s="233">
        <f ca="1">IF(I213&gt;0,J213*100/I213,0)</f>
        <v>100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IFERROR(__xludf.DUMMYFUNCTION("IMPORTRANGE(""https://docs.google.com/spreadsheets/d/11923uPwbBZFjjGgGUA6NLw09EwE0CqkOc4q9oUmW1yo/edit?usp=sharing"",""เชียงใหม่!I140"")"),0)</f>
        <v>0</v>
      </c>
      <c r="J215" s="213">
        <f ca="1">IFERROR(__xludf.DUMMYFUNCTION("IMPORTRANGE(""https://docs.google.com/spreadsheets/d/11923uPwbBZFjjGgGUA6NLw09EwE0CqkOc4q9oUmW1yo/edit?usp=sharing"",""เชียงใหม่!J140"")"),0)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IFERROR(__xludf.DUMMYFUNCTION("IMPORTRANGE(""https://docs.google.com/spreadsheets/d/11923uPwbBZFjjGgGUA6NLw09EwE0CqkOc4q9oUmW1yo/edit?usp=sharing"",""เชียงใหม่!I141"")"),3)</f>
        <v>3</v>
      </c>
      <c r="J216" s="213">
        <f ca="1">IFERROR(__xludf.DUMMYFUNCTION("IMPORTRANGE(""https://docs.google.com/spreadsheets/d/11923uPwbBZFjjGgGUA6NLw09EwE0CqkOc4q9oUmW1yo/edit?usp=sharing"",""เชียงใหม่!J141"")"),0)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IFERROR(__xludf.DUMMYFUNCTION("IMPORTRANGE(""https://docs.google.com/spreadsheets/d/11923uPwbBZFjjGgGUA6NLw09EwE0CqkOc4q9oUmW1yo/edit?usp=sharing"",""เชียงใหม่!J142"")"),0)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IFERROR(__xludf.DUMMYFUNCTION("IMPORTRANGE(""https://docs.google.com/spreadsheets/d/11923uPwbBZFjjGgGUA6NLw09EwE0CqkOc4q9oUmW1yo/edit?usp=sharing"",""เชียงใหม่!J143"")"),0)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IFERROR(__xludf.DUMMYFUNCTION("IMPORTRANGE(""https://docs.google.com/spreadsheets/d/11923uPwbBZFjjGgGUA6NLw09EwE0CqkOc4q9oUmW1yo/edit?usp=sharing"",""เชียงใหม่!I144"")"),15)</f>
        <v>15</v>
      </c>
      <c r="J219" s="276">
        <f ca="1">IFERROR(__xludf.DUMMYFUNCTION("IMPORTRANGE(""https://docs.google.com/spreadsheets/d/11923uPwbBZFjjGgGUA6NLw09EwE0CqkOc4q9oUmW1yo/edit?usp=sharing"",""เชียงใหม่!J144"")"),15)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20125</v>
      </c>
      <c r="O220" s="157">
        <f t="shared" ref="O220:O222" ca="1" si="73">IF(L220&gt;0,N220*100/L220,0)</f>
        <v>95.26627218934911</v>
      </c>
      <c r="P220" s="157">
        <f t="shared" ref="P220:P222" ca="1" si="74">IF(M220&gt;0,N220*100/M220,0)</f>
        <v>95.26627218934911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20125</v>
      </c>
      <c r="O222" s="162">
        <f t="shared" ca="1" si="73"/>
        <v>95.26627218934911</v>
      </c>
      <c r="P222" s="162">
        <f t="shared" ca="1" si="74"/>
        <v>95.26627218934911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IFERROR(__xludf.DUMMYFUNCTION("IMPORTRANGE(""https://docs.google.com/spreadsheets/d/1Yj_ptqi66GCucihVvJfMjLAmec39IyEx_6qawtMGysU/edit?usp=sharing"",""สบก!BS22"")"),21125)</f>
        <v>21125</v>
      </c>
      <c r="N224" s="177">
        <f ca="1">IFERROR(__xludf.DUMMYFUNCTION("IMPORTRANGE(""https://docs.google.com/spreadsheets/d/1Yj_ptqi66GCucihVvJfMjLAmec39IyEx_6qawtMGysU/edit?usp=sharing"",""สบก!BT22"")"),20125)</f>
        <v>20125</v>
      </c>
      <c r="O224" s="178">
        <f ca="1">IF(L224&gt;0,N224*100/L224,0)</f>
        <v>95.26627218934911</v>
      </c>
      <c r="P224" s="178">
        <f ca="1">IF(M224&gt;0,N224*100/M224,0)</f>
        <v>95.26627218934911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IFERROR(__xludf.DUMMYFUNCTION("IMPORTRANGE(""https://docs.google.com/spreadsheets/d/1Yj_ptqi66GCucihVvJfMjLAmec39IyEx_6qawtMGysU/edit?usp=sharing"",""สบก!BO22"")"),0)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IFERROR(__xludf.DUMMYFUNCTION("IMPORTRANGE(""https://docs.google.com/spreadsheets/d/1Yj_ptqi66GCucihVvJfMjLAmec39IyEx_6qawtMGysU/edit?usp=sharing"",""สบก!BP22"")"),21125)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IFERROR(__xludf.DUMMYFUNCTION("IMPORTRANGE(""https://docs.google.com/spreadsheets/d/1Yj_ptqi66GCucihVvJfMjLAmec39IyEx_6qawtMGysU/edit?usp=sharing"",""สบก!BQ22"")"),0)</f>
        <v>0</v>
      </c>
      <c r="M228" s="103"/>
      <c r="N228" s="93">
        <f ca="1">IFERROR(__xludf.DUMMYFUNCTION("IMPORTRANGE(""https://docs.google.com/spreadsheets/d/1Yj_ptqi66GCucihVvJfMjLAmec39IyEx_6qawtMGysU/edit?usp=sharing"",""สบก!BU22"")"),0)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IFERROR(__xludf.DUMMYFUNCTION("IMPORTRANGE(""https://docs.google.com/spreadsheets/d/11923uPwbBZFjjGgGUA6NLw09EwE0CqkOc4q9oUmW1yo/edit?usp=sharing"",""เชียงใหม่!I149"")"),15)</f>
        <v>15</v>
      </c>
      <c r="J229" s="276">
        <f ca="1">IFERROR(__xludf.DUMMYFUNCTION("IMPORTRANGE(""https://docs.google.com/spreadsheets/d/11923uPwbBZFjjGgGUA6NLw09EwE0CqkOc4q9oUmW1yo/edit?usp=sharing"",""เชียงใหม่!J149"")"),15)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IFERROR(__xludf.DUMMYFUNCTION("IMPORTRANGE(""https://docs.google.com/spreadsheets/d/11923uPwbBZFjjGgGUA6NLw09EwE0CqkOc4q9oUmW1yo/edit?usp=sharing"",""เชียงใหม่!J151"")"),0)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IFERROR(__xludf.DUMMYFUNCTION("IMPORTRANGE(""https://docs.google.com/spreadsheets/d/11923uPwbBZFjjGgGUA6NLw09EwE0CqkOc4q9oUmW1yo/edit?usp=sharing"",""เชียงใหม่!J152"")"),1)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IFERROR(__xludf.DUMMYFUNCTION("IMPORTRANGE(""https://docs.google.com/spreadsheets/d/11923uPwbBZFjjGgGUA6NLw09EwE0CqkOc4q9oUmW1yo/edit?usp=sharing"",""เชียงใหม่!J153"")"),1)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IFERROR(__xludf.DUMMYFUNCTION("IMPORTRANGE(""https://docs.google.com/spreadsheets/d/11923uPwbBZFjjGgGUA6NLw09EwE0CqkOc4q9oUmW1yo/edit?usp=sharing"",""เชียงใหม่!J154"")"),1)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IFERROR(__xludf.DUMMYFUNCTION("IMPORTRANGE(""https://docs.google.com/spreadsheets/d/11923uPwbBZFjjGgGUA6NLw09EwE0CqkOc4q9oUmW1yo/edit?usp=sharing"",""เชียงใหม่!I155"")"),15)</f>
        <v>15</v>
      </c>
      <c r="J235" s="198">
        <f ca="1">IFERROR(__xludf.DUMMYFUNCTION("IMPORTRANGE(""https://docs.google.com/spreadsheets/d/11923uPwbBZFjjGgGUA6NLw09EwE0CqkOc4q9oUmW1yo/edit?usp=sharing"",""เชียงใหม่!J155"")"),15)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IFERROR(__xludf.DUMMYFUNCTION("IMPORTRANGE(""https://docs.google.com/spreadsheets/d/11923uPwbBZFjjGgGUA6NLw09EwE0CqkOc4q9oUmW1yo/edit?usp=sharing"",""เชียงใหม่!J156"")"),0)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IFERROR(__xludf.DUMMYFUNCTION("IMPORTRANGE(""https://docs.google.com/spreadsheets/d/11923uPwbBZFjjGgGUA6NLw09EwE0CqkOc4q9oUmW1yo/edit?usp=sharing"",""เชียงใหม่!J157"")"),0)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IFERROR(__xludf.DUMMYFUNCTION("IMPORTRANGE(""https://docs.google.com/spreadsheets/d/11923uPwbBZFjjGgGUA6NLw09EwE0CqkOc4q9oUmW1yo/edit?usp=sharing"",""เชียงใหม่!I158"")"),0)</f>
        <v>0</v>
      </c>
      <c r="J238" s="276">
        <f ca="1">IFERROR(__xludf.DUMMYFUNCTION("IMPORTRANGE(""https://docs.google.com/spreadsheets/d/11923uPwbBZFjjGgGUA6NLw09EwE0CqkOc4q9oUmW1yo/edit?usp=sharing"",""เชียงใหม่!J158"")"),0)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IFERROR(__xludf.DUMMYFUNCTION("IMPORTRANGE(""https://docs.google.com/spreadsheets/d/11923uPwbBZFjjGgGUA6NLw09EwE0CqkOc4q9oUmW1yo/edit?usp=sharing"",""เชียงใหม่!J159"")"),"")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IFERROR(__xludf.DUMMYFUNCTION("IMPORTRANGE(""https://docs.google.com/spreadsheets/d/11923uPwbBZFjjGgGUA6NLw09EwE0CqkOc4q9oUmW1yo/edit?usp=sharing"",""เชียงใหม่!J161"")"),0)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IFERROR(__xludf.DUMMYFUNCTION("IMPORTRANGE(""https://docs.google.com/spreadsheets/d/11923uPwbBZFjjGgGUA6NLw09EwE0CqkOc4q9oUmW1yo/edit?usp=sharing"",""เชียงใหม่!J162"")"),0)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IFERROR(__xludf.DUMMYFUNCTION("IMPORTRANGE(""https://docs.google.com/spreadsheets/d/11923uPwbBZFjjGgGUA6NLw09EwE0CqkOc4q9oUmW1yo/edit?usp=sharing"",""เชียงใหม่!J163"")"),0)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IFERROR(__xludf.DUMMYFUNCTION("IMPORTRANGE(""https://docs.google.com/spreadsheets/d/11923uPwbBZFjjGgGUA6NLw09EwE0CqkOc4q9oUmW1yo/edit?usp=sharing"",""เชียงใหม่!I164"")"),0)</f>
        <v>0</v>
      </c>
      <c r="J244" s="197">
        <f ca="1">IFERROR(__xludf.DUMMYFUNCTION("IMPORTRANGE(""https://docs.google.com/spreadsheets/d/11923uPwbBZFjjGgGUA6NLw09EwE0CqkOc4q9oUmW1yo/edit?usp=sharing"",""เชียงใหม่!J164"")"),0)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IFERROR(__xludf.DUMMYFUNCTION("IMPORTRANGE(""https://docs.google.com/spreadsheets/d/11923uPwbBZFjjGgGUA6NLw09EwE0CqkOc4q9oUmW1yo/edit?usp=sharing"",""เชียงใหม่!J165"")"),0)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IFERROR(__xludf.DUMMYFUNCTION("IMPORTRANGE(""https://docs.google.com/spreadsheets/d/11923uPwbBZFjjGgGUA6NLw09EwE0CqkOc4q9oUmW1yo/edit?usp=sharing"",""เชียงใหม่!J166"")"),0)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IFERROR(__xludf.DUMMYFUNCTION("IMPORTRANGE(""https://docs.google.com/spreadsheets/d/11923uPwbBZFjjGgGUA6NLw09EwE0CqkOc4q9oUmW1yo/edit?usp=sharing"",""เชียงใหม่!I169"")"),20)</f>
        <v>20</v>
      </c>
      <c r="J249" s="324">
        <f ca="1">IFERROR(__xludf.DUMMYFUNCTION("IMPORTRANGE(""https://docs.google.com/spreadsheets/d/11923uPwbBZFjjGgGUA6NLw09EwE0CqkOc4q9oUmW1yo/edit?usp=sharing"",""เชียงใหม่!J169"")"),20)</f>
        <v>20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71400</v>
      </c>
      <c r="M250" s="158">
        <f t="shared" ca="1" si="77"/>
        <v>37000</v>
      </c>
      <c r="N250" s="158">
        <f t="shared" ca="1" si="77"/>
        <v>33442</v>
      </c>
      <c r="O250" s="157">
        <f t="shared" ref="O250:O252" ca="1" si="78">IF(L250&gt;0,N250*100/L250,0)</f>
        <v>46.837535014005603</v>
      </c>
      <c r="P250" s="157">
        <f t="shared" ref="P250:P252" ca="1" si="79">IF(M250&gt;0,N250*100/M250,0)</f>
        <v>90.383783783783784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71400</v>
      </c>
      <c r="M252" s="163">
        <f t="shared" ca="1" si="81"/>
        <v>37000</v>
      </c>
      <c r="N252" s="163">
        <f t="shared" ca="1" si="81"/>
        <v>33442</v>
      </c>
      <c r="O252" s="162">
        <f t="shared" ca="1" si="78"/>
        <v>46.837535014005603</v>
      </c>
      <c r="P252" s="162">
        <f t="shared" ca="1" si="79"/>
        <v>90.383783783783784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71400</v>
      </c>
      <c r="M254" s="176">
        <f ca="1">IFERROR(__xludf.DUMMYFUNCTION("IMPORTRANGE(""https://docs.google.com/spreadsheets/d/1Yj_ptqi66GCucihVvJfMjLAmec39IyEx_6qawtMGysU/edit?usp=sharing"",""สบก!CB22"")"),37000)</f>
        <v>37000</v>
      </c>
      <c r="N254" s="177">
        <f ca="1">IFERROR(__xludf.DUMMYFUNCTION("IMPORTRANGE(""https://docs.google.com/spreadsheets/d/1Yj_ptqi66GCucihVvJfMjLAmec39IyEx_6qawtMGysU/edit?usp=sharing"",""สบก!CC22"")"),33442)</f>
        <v>33442</v>
      </c>
      <c r="O254" s="178">
        <f ca="1">IF(L254&gt;0,N254*100/L254,0)</f>
        <v>46.837535014005603</v>
      </c>
      <c r="P254" s="178">
        <f ca="1">IF(M254&gt;0,N254*100/M254,0)</f>
        <v>90.383783783783784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IFERROR(__xludf.DUMMYFUNCTION("IMPORTRANGE(""https://docs.google.com/spreadsheets/d/1Yj_ptqi66GCucihVvJfMjLAmec39IyEx_6qawtMGysU/edit?usp=sharing"",""สบก!BX22"")"),0)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IFERROR(__xludf.DUMMYFUNCTION("IMPORTRANGE(""https://docs.google.com/spreadsheets/d/1Yj_ptqi66GCucihVvJfMjLAmec39IyEx_6qawtMGysU/edit?usp=sharing"",""สบก!BY22"")"),71400)</f>
        <v>71400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IFERROR(__xludf.DUMMYFUNCTION("IMPORTRANGE(""https://docs.google.com/spreadsheets/d/1Yj_ptqi66GCucihVvJfMjLAmec39IyEx_6qawtMGysU/edit?usp=sharing"",""สบก!BZ22"")"),0)</f>
        <v>0</v>
      </c>
      <c r="M258" s="103"/>
      <c r="N258" s="93">
        <f ca="1">IFERROR(__xludf.DUMMYFUNCTION("IMPORTRANGE(""https://docs.google.com/spreadsheets/d/1Yj_ptqi66GCucihVvJfMjLAmec39IyEx_6qawtMGysU/edit?usp=sharing"",""สบก!CD22"")"),0)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IFERROR(__xludf.DUMMYFUNCTION("IMPORTRANGE(""https://docs.google.com/spreadsheets/d/11923uPwbBZFjjGgGUA6NLw09EwE0CqkOc4q9oUmW1yo/edit?usp=sharing"",""เชียงใหม่!J175"")"),0)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IFERROR(__xludf.DUMMYFUNCTION("IMPORTRANGE(""https://docs.google.com/spreadsheets/d/11923uPwbBZFjjGgGUA6NLw09EwE0CqkOc4q9oUmW1yo/edit?usp=sharing"",""เชียงใหม่!J176"")"),1)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IFERROR(__xludf.DUMMYFUNCTION("IMPORTRANGE(""https://docs.google.com/spreadsheets/d/11923uPwbBZFjjGgGUA6NLw09EwE0CqkOc4q9oUmW1yo/edit?usp=sharing"",""เชียงใหม่!J177"")"),1)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IFERROR(__xludf.DUMMYFUNCTION("IMPORTRANGE(""https://docs.google.com/spreadsheets/d/11923uPwbBZFjjGgGUA6NLw09EwE0CqkOc4q9oUmW1yo/edit?usp=sharing"",""เชียงใหม่!J178"")"),1)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IFERROR(__xludf.DUMMYFUNCTION("IMPORTRANGE(""https://docs.google.com/spreadsheets/d/11923uPwbBZFjjGgGUA6NLw09EwE0CqkOc4q9oUmW1yo/edit?usp=sharing"",""เชียงใหม่!I179"")"),1)</f>
        <v>1</v>
      </c>
      <c r="J264" s="198">
        <f ca="1">IFERROR(__xludf.DUMMYFUNCTION("IMPORTRANGE(""https://docs.google.com/spreadsheets/d/11923uPwbBZFjjGgGUA6NLw09EwE0CqkOc4q9oUmW1yo/edit?usp=sharing"",""เชียงใหม่!J179"")"),1)</f>
        <v>1</v>
      </c>
      <c r="K264" s="171">
        <f t="shared" ref="K264:K267" ca="1" si="82">IF(I264&gt;0,J264*100/I264,0)</f>
        <v>100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IFERROR(__xludf.DUMMYFUNCTION("IMPORTRANGE(""https://docs.google.com/spreadsheets/d/11923uPwbBZFjjGgGUA6NLw09EwE0CqkOc4q9oUmW1yo/edit?usp=sharing"",""เชียงใหม่!I180"")"),20)</f>
        <v>20</v>
      </c>
      <c r="J265" s="198">
        <f ca="1">IFERROR(__xludf.DUMMYFUNCTION("IMPORTRANGE(""https://docs.google.com/spreadsheets/d/11923uPwbBZFjjGgGUA6NLw09EwE0CqkOc4q9oUmW1yo/edit?usp=sharing"",""เชียงใหม่!J180"")"),20)</f>
        <v>20</v>
      </c>
      <c r="K265" s="171">
        <f t="shared" ca="1" si="82"/>
        <v>100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IFERROR(__xludf.DUMMYFUNCTION("IMPORTRANGE(""https://docs.google.com/spreadsheets/d/11923uPwbBZFjjGgGUA6NLw09EwE0CqkOc4q9oUmW1yo/edit?usp=sharing"",""เชียงใหม่!I181"")"),20)</f>
        <v>20</v>
      </c>
      <c r="J266" s="198">
        <f ca="1">IFERROR(__xludf.DUMMYFUNCTION("IMPORTRANGE(""https://docs.google.com/spreadsheets/d/11923uPwbBZFjjGgGUA6NLw09EwE0CqkOc4q9oUmW1yo/edit?usp=sharing"",""เชียงใหม่!J181"")"),0)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IFERROR(__xludf.DUMMYFUNCTION("IMPORTRANGE(""https://docs.google.com/spreadsheets/d/11923uPwbBZFjjGgGUA6NLw09EwE0CqkOc4q9oUmW1yo/edit?usp=sharing"",""เชียงใหม่!I182"")"),1)</f>
        <v>1</v>
      </c>
      <c r="J267" s="198">
        <f ca="1">IFERROR(__xludf.DUMMYFUNCTION("IMPORTRANGE(""https://docs.google.com/spreadsheets/d/11923uPwbBZFjjGgGUA6NLw09EwE0CqkOc4q9oUmW1yo/edit?usp=sharing"",""เชียงใหม่!J182"")"),0)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IFERROR(__xludf.DUMMYFUNCTION("IMPORTRANGE(""https://docs.google.com/spreadsheets/d/11923uPwbBZFjjGgGUA6NLw09EwE0CqkOc4q9oUmW1yo/edit?usp=sharing"",""เชียงใหม่!J183"")"),0)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IFERROR(__xludf.DUMMYFUNCTION("IMPORTRANGE(""https://docs.google.com/spreadsheets/d/11923uPwbBZFjjGgGUA6NLw09EwE0CqkOc4q9oUmW1yo/edit?usp=sharing"",""เชียงใหม่!J184"")"),0)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IFERROR(__xludf.DUMMYFUNCTION("IMPORTRANGE(""https://docs.google.com/spreadsheets/d/11923uPwbBZFjjGgGUA6NLw09EwE0CqkOc4q9oUmW1yo/edit?usp=sharing"",""เชียงใหม่!I185"")"),15)</f>
        <v>15</v>
      </c>
      <c r="J270" s="324">
        <f ca="1">IFERROR(__xludf.DUMMYFUNCTION("IMPORTRANGE(""https://docs.google.com/spreadsheets/d/11923uPwbBZFjjGgGUA6NLw09EwE0CqkOc4q9oUmW1yo/edit?usp=sharing"",""เชียงใหม่!J185"")"),15)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105700</v>
      </c>
      <c r="M271" s="158">
        <f t="shared" ca="1" si="83"/>
        <v>80000</v>
      </c>
      <c r="N271" s="158">
        <f t="shared" ca="1" si="83"/>
        <v>28600</v>
      </c>
      <c r="O271" s="157">
        <f t="shared" ref="O271:O273" ca="1" si="84">IF(L271&gt;0,N271*100/L271,0)</f>
        <v>27.057710501419109</v>
      </c>
      <c r="P271" s="157">
        <f t="shared" ref="P271:P273" ca="1" si="85">IF(M271&gt;0,N271*100/M271,0)</f>
        <v>35.75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105700</v>
      </c>
      <c r="M273" s="163">
        <f t="shared" ca="1" si="87"/>
        <v>80000</v>
      </c>
      <c r="N273" s="163">
        <f t="shared" ca="1" si="87"/>
        <v>28600</v>
      </c>
      <c r="O273" s="162">
        <f t="shared" ca="1" si="84"/>
        <v>27.057710501419109</v>
      </c>
      <c r="P273" s="162">
        <f t="shared" ca="1" si="85"/>
        <v>35.75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105700</v>
      </c>
      <c r="M275" s="176">
        <f ca="1">IFERROR(__xludf.DUMMYFUNCTION("IMPORTRANGE(""https://docs.google.com/spreadsheets/d/1Yj_ptqi66GCucihVvJfMjLAmec39IyEx_6qawtMGysU/edit?usp=sharing"",""สบก!CK22"")"),80000)</f>
        <v>80000</v>
      </c>
      <c r="N275" s="177">
        <f ca="1">IFERROR(__xludf.DUMMYFUNCTION("IMPORTRANGE(""https://docs.google.com/spreadsheets/d/1Yj_ptqi66GCucihVvJfMjLAmec39IyEx_6qawtMGysU/edit?usp=sharing"",""สบก!CL22"")"),28600)</f>
        <v>28600</v>
      </c>
      <c r="O275" s="178">
        <f ca="1">IF(L275&gt;0,N275*100/L275,0)</f>
        <v>27.057710501419109</v>
      </c>
      <c r="P275" s="178">
        <f ca="1">IF(M275&gt;0,N275*100/M275,0)</f>
        <v>35.75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IFERROR(__xludf.DUMMYFUNCTION("IMPORTRANGE(""https://docs.google.com/spreadsheets/d/1Yj_ptqi66GCucihVvJfMjLAmec39IyEx_6qawtMGysU/edit?usp=sharing"",""สบก!CG22"")"),0)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IFERROR(__xludf.DUMMYFUNCTION("IMPORTRANGE(""https://docs.google.com/spreadsheets/d/1Yj_ptqi66GCucihVvJfMjLAmec39IyEx_6qawtMGysU/edit?usp=sharing"",""สบก!CH22"")"),105700)</f>
        <v>105700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IFERROR(__xludf.DUMMYFUNCTION("IMPORTRANGE(""https://docs.google.com/spreadsheets/d/1Yj_ptqi66GCucihVvJfMjLAmec39IyEx_6qawtMGysU/edit?usp=sharing"",""สบก!CI22"")"),0)</f>
        <v>0</v>
      </c>
      <c r="M279" s="103"/>
      <c r="N279" s="93">
        <f ca="1">IFERROR(__xludf.DUMMYFUNCTION("IMPORTRANGE(""https://docs.google.com/spreadsheets/d/1Yj_ptqi66GCucihVvJfMjLAmec39IyEx_6qawtMGysU/edit?usp=sharing"",""สบก!CM22"")"),0)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IFERROR(__xludf.DUMMYFUNCTION("IMPORTRANGE(""https://docs.google.com/spreadsheets/d/11923uPwbBZFjjGgGUA6NLw09EwE0CqkOc4q9oUmW1yo/edit?usp=sharing"",""เชียงใหม่!J191"")"),0)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IFERROR(__xludf.DUMMYFUNCTION("IMPORTRANGE(""https://docs.google.com/spreadsheets/d/11923uPwbBZFjjGgGUA6NLw09EwE0CqkOc4q9oUmW1yo/edit?usp=sharing"",""เชียงใหม่!J192"")"),1)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IFERROR(__xludf.DUMMYFUNCTION("IMPORTRANGE(""https://docs.google.com/spreadsheets/d/11923uPwbBZFjjGgGUA6NLw09EwE0CqkOc4q9oUmW1yo/edit?usp=sharing"",""เชียงใหม่!J193"")"),1)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IFERROR(__xludf.DUMMYFUNCTION("IMPORTRANGE(""https://docs.google.com/spreadsheets/d/11923uPwbBZFjjGgGUA6NLw09EwE0CqkOc4q9oUmW1yo/edit?usp=sharing"",""เชียงใหม่!J194"")"),1)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IFERROR(__xludf.DUMMYFUNCTION("IMPORTRANGE(""https://docs.google.com/spreadsheets/d/11923uPwbBZFjjGgGUA6NLw09EwE0CqkOc4q9oUmW1yo/edit?usp=sharing"",""เชียงใหม่!I195"")"),15)</f>
        <v>15</v>
      </c>
      <c r="J285" s="198">
        <f ca="1">IFERROR(__xludf.DUMMYFUNCTION("IMPORTRANGE(""https://docs.google.com/spreadsheets/d/11923uPwbBZFjjGgGUA6NLw09EwE0CqkOc4q9oUmW1yo/edit?usp=sharing"",""เชียงใหม่!J195"")"),15)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IFERROR(__xludf.DUMMYFUNCTION("IMPORTRANGE(""https://docs.google.com/spreadsheets/d/11923uPwbBZFjjGgGUA6NLw09EwE0CqkOc4q9oUmW1yo/edit?usp=sharing"",""เชียงใหม่!J196"")"),0)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IFERROR(__xludf.DUMMYFUNCTION("IMPORTRANGE(""https://docs.google.com/spreadsheets/d/11923uPwbBZFjjGgGUA6NLw09EwE0CqkOc4q9oUmW1yo/edit?usp=sharing"",""เชียงใหม่!J197"")"),0)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IFERROR(__xludf.DUMMYFUNCTION("IMPORTRANGE(""https://docs.google.com/spreadsheets/d/11923uPwbBZFjjGgGUA6NLw09EwE0CqkOc4q9oUmW1yo/edit?usp=sharing"",""เชียงใหม่!I199"")"),0)</f>
        <v>0</v>
      </c>
      <c r="J289" s="324">
        <f ca="1">IFERROR(__xludf.DUMMYFUNCTION("IMPORTRANGE(""https://docs.google.com/spreadsheets/d/11923uPwbBZFjjGgGUA6NLw09EwE0CqkOc4q9oUmW1yo/edit?usp=sharing"",""เชียงใหม่!J199"")"),0)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IFERROR(__xludf.DUMMYFUNCTION("IMPORTRANGE(""https://docs.google.com/spreadsheets/d/1Yj_ptqi66GCucihVvJfMjLAmec39IyEx_6qawtMGysU/edit?usp=sharing"",""สบก!CT22"")"),0)</f>
        <v>0</v>
      </c>
      <c r="N294" s="177">
        <f ca="1">IFERROR(__xludf.DUMMYFUNCTION("IMPORTRANGE(""https://docs.google.com/spreadsheets/d/1Yj_ptqi66GCucihVvJfMjLAmec39IyEx_6qawtMGysU/edit?usp=sharing"",""สบก!CU22"")"),0)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IFERROR(__xludf.DUMMYFUNCTION("IMPORTRANGE(""https://docs.google.com/spreadsheets/d/1Yj_ptqi66GCucihVvJfMjLAmec39IyEx_6qawtMGysU/edit?usp=sharing"",""สบก!CP22"")"),0)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IFERROR(__xludf.DUMMYFUNCTION("IMPORTRANGE(""https://docs.google.com/spreadsheets/d/1Yj_ptqi66GCucihVvJfMjLAmec39IyEx_6qawtMGysU/edit?usp=sharing"",""สบก!CQ22"")"),0)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IFERROR(__xludf.DUMMYFUNCTION("IMPORTRANGE(""https://docs.google.com/spreadsheets/d/1Yj_ptqi66GCucihVvJfMjLAmec39IyEx_6qawtMGysU/edit?usp=sharing"",""สบก!CR22"")"),0)</f>
        <v>0</v>
      </c>
      <c r="M298" s="103"/>
      <c r="N298" s="93">
        <f ca="1">IFERROR(__xludf.DUMMYFUNCTION("IMPORTRANGE(""https://docs.google.com/spreadsheets/d/1Yj_ptqi66GCucihVvJfMjLAmec39IyEx_6qawtMGysU/edit?usp=sharing"",""สบก!CV22"")"),0)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IFERROR(__xludf.DUMMYFUNCTION("IMPORTRANGE(""https://docs.google.com/spreadsheets/d/11923uPwbBZFjjGgGUA6NLw09EwE0CqkOc4q9oUmW1yo/edit?usp=sharing"",""เชียงใหม่!J205"")"),0)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IFERROR(__xludf.DUMMYFUNCTION("IMPORTRANGE(""https://docs.google.com/spreadsheets/d/11923uPwbBZFjjGgGUA6NLw09EwE0CqkOc4q9oUmW1yo/edit?usp=sharing"",""เชียงใหม่!J206"")"),0)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IFERROR(__xludf.DUMMYFUNCTION("IMPORTRANGE(""https://docs.google.com/spreadsheets/d/11923uPwbBZFjjGgGUA6NLw09EwE0CqkOc4q9oUmW1yo/edit?usp=sharing"",""เชียงใหม่!J207"")"),0)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IFERROR(__xludf.DUMMYFUNCTION("IMPORTRANGE(""https://docs.google.com/spreadsheets/d/11923uPwbBZFjjGgGUA6NLw09EwE0CqkOc4q9oUmW1yo/edit?usp=sharing"",""เชียงใหม่!J208"")"),0)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IFERROR(__xludf.DUMMYFUNCTION("IMPORTRANGE(""https://docs.google.com/spreadsheets/d/11923uPwbBZFjjGgGUA6NLw09EwE0CqkOc4q9oUmW1yo/edit?usp=sharing"",""เชียงใหม่!I209"")"),0)</f>
        <v>0</v>
      </c>
      <c r="J304" s="213">
        <f ca="1">IFERROR(__xludf.DUMMYFUNCTION("IMPORTRANGE(""https://docs.google.com/spreadsheets/d/11923uPwbBZFjjGgGUA6NLw09EwE0CqkOc4q9oUmW1yo/edit?usp=sharing"",""เชียงใหม่!J209"")"),0)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IFERROR(__xludf.DUMMYFUNCTION("IMPORTRANGE(""https://docs.google.com/spreadsheets/d/11923uPwbBZFjjGgGUA6NLw09EwE0CqkOc4q9oUmW1yo/edit?usp=sharing"",""เชียงใหม่!I211"")"),0)</f>
        <v>0</v>
      </c>
      <c r="J306" s="213">
        <f ca="1">IFERROR(__xludf.DUMMYFUNCTION("IMPORTRANGE(""https://docs.google.com/spreadsheets/d/11923uPwbBZFjjGgGUA6NLw09EwE0CqkOc4q9oUmW1yo/edit?usp=sharing"",""เชียงใหม่!J211"")"),0)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IFERROR(__xludf.DUMMYFUNCTION("IMPORTRANGE(""https://docs.google.com/spreadsheets/d/11923uPwbBZFjjGgGUA6NLw09EwE0CqkOc4q9oUmW1yo/edit?usp=sharing"",""เชียงใหม่!J212"")"),0)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IFERROR(__xludf.DUMMYFUNCTION("IMPORTRANGE(""https://docs.google.com/spreadsheets/d/11923uPwbBZFjjGgGUA6NLw09EwE0CqkOc4q9oUmW1yo/edit?usp=sharing"",""เชียงใหม่!J213"")"),0)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IFERROR(__xludf.DUMMYFUNCTION("IMPORTRANGE(""https://docs.google.com/spreadsheets/d/11923uPwbBZFjjGgGUA6NLw09EwE0CqkOc4q9oUmW1yo/edit?usp=sharing"",""เชียงใหม่!I214"")"),6)</f>
        <v>6</v>
      </c>
      <c r="J309" s="341">
        <f ca="1">IFERROR(__xludf.DUMMYFUNCTION("IMPORTRANGE(""https://docs.google.com/spreadsheets/d/11923uPwbBZFjjGgGUA6NLw09EwE0CqkOc4q9oUmW1yo/edit?usp=sharing"",""เชียงใหม่!J214"")"),2)</f>
        <v>2</v>
      </c>
      <c r="K309" s="342">
        <f ca="1">IF(I309&gt;0,J309*100/I309,0)</f>
        <v>33.333333333333336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315600</v>
      </c>
      <c r="M310" s="158">
        <f t="shared" ca="1" si="93"/>
        <v>157800</v>
      </c>
      <c r="N310" s="158">
        <f t="shared" ca="1" si="93"/>
        <v>53101</v>
      </c>
      <c r="O310" s="157">
        <f t="shared" ref="O310:O312" ca="1" si="94">IF(L310&gt;0,N310*100/L310,0)</f>
        <v>16.825411913814957</v>
      </c>
      <c r="P310" s="157">
        <f t="shared" ref="P310:P312" ca="1" si="95">IF(M310&gt;0,N310*100/M310,0)</f>
        <v>33.650823827629914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315600</v>
      </c>
      <c r="M312" s="163">
        <f t="shared" ca="1" si="97"/>
        <v>157800</v>
      </c>
      <c r="N312" s="163">
        <f t="shared" ca="1" si="97"/>
        <v>53101</v>
      </c>
      <c r="O312" s="162">
        <f t="shared" ca="1" si="94"/>
        <v>16.825411913814957</v>
      </c>
      <c r="P312" s="162">
        <f t="shared" ca="1" si="95"/>
        <v>33.650823827629914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315600</v>
      </c>
      <c r="M314" s="176">
        <f ca="1">IFERROR(__xludf.DUMMYFUNCTION("IMPORTRANGE(""https://docs.google.com/spreadsheets/d/1Yj_ptqi66GCucihVvJfMjLAmec39IyEx_6qawtMGysU/edit?usp=sharing"",""สบก!DC22"")"),157800)</f>
        <v>157800</v>
      </c>
      <c r="N314" s="177">
        <f ca="1">IFERROR(__xludf.DUMMYFUNCTION("IMPORTRANGE(""https://docs.google.com/spreadsheets/d/1Yj_ptqi66GCucihVvJfMjLAmec39IyEx_6qawtMGysU/edit?usp=sharing"",""สบก!DD22"")"),53101)</f>
        <v>53101</v>
      </c>
      <c r="O314" s="178">
        <f ca="1">IF(L314&gt;0,N314*100/L314,0)</f>
        <v>16.825411913814957</v>
      </c>
      <c r="P314" s="178">
        <f ca="1">IF(M314&gt;0,N314*100/M314,0)</f>
        <v>33.650823827629914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IFERROR(__xludf.DUMMYFUNCTION("IMPORTRANGE(""https://docs.google.com/spreadsheets/d/1Yj_ptqi66GCucihVvJfMjLAmec39IyEx_6qawtMGysU/edit?usp=sharing"",""สบก!CY22"")"),0)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IFERROR(__xludf.DUMMYFUNCTION("IMPORTRANGE(""https://docs.google.com/spreadsheets/d/1Yj_ptqi66GCucihVvJfMjLAmec39IyEx_6qawtMGysU/edit?usp=sharing"",""สบก!CZ22"")"),315600)</f>
        <v>315600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IFERROR(__xludf.DUMMYFUNCTION("IMPORTRANGE(""https://docs.google.com/spreadsheets/d/1Yj_ptqi66GCucihVvJfMjLAmec39IyEx_6qawtMGysU/edit?usp=sharing"",""สบก!DA22"")"),0)</f>
        <v>0</v>
      </c>
      <c r="M318" s="103"/>
      <c r="N318" s="93">
        <f ca="1">IFERROR(__xludf.DUMMYFUNCTION("IMPORTRANGE(""https://docs.google.com/spreadsheets/d/1Yj_ptqi66GCucihVvJfMjLAmec39IyEx_6qawtMGysU/edit?usp=sharing"",""สบก!DE22"")"),0)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IFERROR(__xludf.DUMMYFUNCTION("IMPORTRANGE(""https://docs.google.com/spreadsheets/d/11923uPwbBZFjjGgGUA6NLw09EwE0CqkOc4q9oUmW1yo/edit?usp=sharing"",""เชียงใหม่!J220"")"),0)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IFERROR(__xludf.DUMMYFUNCTION("IMPORTRANGE(""https://docs.google.com/spreadsheets/d/11923uPwbBZFjjGgGUA6NLw09EwE0CqkOc4q9oUmW1yo/edit?usp=sharing"",""เชียงใหม่!J221"")"),1)</f>
        <v>1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IFERROR(__xludf.DUMMYFUNCTION("IMPORTRANGE(""https://docs.google.com/spreadsheets/d/11923uPwbBZFjjGgGUA6NLw09EwE0CqkOc4q9oUmW1yo/edit?usp=sharing"",""เชียงใหม่!J222"")"),1)</f>
        <v>1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IFERROR(__xludf.DUMMYFUNCTION("IMPORTRANGE(""https://docs.google.com/spreadsheets/d/11923uPwbBZFjjGgGUA6NLw09EwE0CqkOc4q9oUmW1yo/edit?usp=sharing"",""เชียงใหม่!J223"")"),1)</f>
        <v>1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IFERROR(__xludf.DUMMYFUNCTION("IMPORTRANGE(""https://docs.google.com/spreadsheets/d/11923uPwbBZFjjGgGUA6NLw09EwE0CqkOc4q9oUmW1yo/edit?usp=sharing"",""เชียงใหม่!I224"")"),6)</f>
        <v>6</v>
      </c>
      <c r="J324" s="213">
        <f ca="1">IFERROR(__xludf.DUMMYFUNCTION("IMPORTRANGE(""https://docs.google.com/spreadsheets/d/11923uPwbBZFjjGgGUA6NLw09EwE0CqkOc4q9oUmW1yo/edit?usp=sharing"",""เชียงใหม่!J224"")"),2)</f>
        <v>2</v>
      </c>
      <c r="K324" s="233">
        <f ca="1">IF(I324&gt;0,J324*100/I324,0)</f>
        <v>33.333333333333336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IFERROR(__xludf.DUMMYFUNCTION("IMPORTRANGE(""https://docs.google.com/spreadsheets/d/11923uPwbBZFjjGgGUA6NLw09EwE0CqkOc4q9oUmW1yo/edit?usp=sharing"",""เชียงใหม่!J225"")"),0)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IFERROR(__xludf.DUMMYFUNCTION("IMPORTRANGE(""https://docs.google.com/spreadsheets/d/11923uPwbBZFjjGgGUA6NLw09EwE0CqkOc4q9oUmW1yo/edit?usp=sharing"",""เชียงใหม่!J226"")"),0)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IFERROR(__xludf.DUMMYFUNCTION("IMPORTRANGE(""https://docs.google.com/spreadsheets/d/11923uPwbBZFjjGgGUA6NLw09EwE0CqkOc4q9oUmW1yo/edit?usp=sharing"",""เชียงใหม่!I228"")"),315)</f>
        <v>315</v>
      </c>
      <c r="J328" s="347">
        <f ca="1">IFERROR(__xludf.DUMMYFUNCTION("IMPORTRANGE(""https://docs.google.com/spreadsheets/d/11923uPwbBZFjjGgGUA6NLw09EwE0CqkOc4q9oUmW1yo/edit?usp=sharing"",""เชียงใหม่!J228"")"),33)</f>
        <v>33</v>
      </c>
      <c r="K328" s="325">
        <f ca="1">IF(I328&gt;0,J328*100/I328,0)</f>
        <v>10.476190476190476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845280</v>
      </c>
      <c r="M329" s="158">
        <f t="shared" ca="1" si="98"/>
        <v>422290</v>
      </c>
      <c r="N329" s="158">
        <f t="shared" ca="1" si="98"/>
        <v>232182</v>
      </c>
      <c r="O329" s="157">
        <f t="shared" ref="O329:O331" ca="1" si="99">IF(L329&gt;0,N329*100/L329,0)</f>
        <v>27.468057921635435</v>
      </c>
      <c r="P329" s="157">
        <f t="shared" ref="P329:P331" ca="1" si="100">IF(M329&gt;0,N329*100/M329,0)</f>
        <v>54.981647682871959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845280</v>
      </c>
      <c r="M331" s="163">
        <f t="shared" ca="1" si="102"/>
        <v>422290</v>
      </c>
      <c r="N331" s="163">
        <f t="shared" ca="1" si="102"/>
        <v>232182</v>
      </c>
      <c r="O331" s="162">
        <f t="shared" ca="1" si="99"/>
        <v>27.468057921635435</v>
      </c>
      <c r="P331" s="162">
        <f t="shared" ca="1" si="100"/>
        <v>54.981647682871959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802280</v>
      </c>
      <c r="M333" s="176">
        <f ca="1">IFERROR(__xludf.DUMMYFUNCTION("IMPORTRANGE(""https://docs.google.com/spreadsheets/d/1Yj_ptqi66GCucihVvJfMjLAmec39IyEx_6qawtMGysU/edit?usp=sharing"",""สบก!DL22"")"),422290)</f>
        <v>422290</v>
      </c>
      <c r="N333" s="177">
        <f ca="1">IFERROR(__xludf.DUMMYFUNCTION("IMPORTRANGE(""https://docs.google.com/spreadsheets/d/1Yj_ptqi66GCucihVvJfMjLAmec39IyEx_6qawtMGysU/edit?usp=sharing"",""สบก!DM22"")"),189182)</f>
        <v>189182</v>
      </c>
      <c r="O333" s="178">
        <f ca="1">IF(L333&gt;0,N333*100/L333,0)</f>
        <v>23.580545445480382</v>
      </c>
      <c r="P333" s="178">
        <f ca="1">IF(M333&gt;0,N333*100/M333,0)</f>
        <v>44.799071727959458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IFERROR(__xludf.DUMMYFUNCTION("IMPORTRANGE(""https://docs.google.com/spreadsheets/d/1Yj_ptqi66GCucihVvJfMjLAmec39IyEx_6qawtMGysU/edit?usp=sharing"",""สบก!DH22"")"),471600)</f>
        <v>471600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IFERROR(__xludf.DUMMYFUNCTION("IMPORTRANGE(""https://docs.google.com/spreadsheets/d/1Yj_ptqi66GCucihVvJfMjLAmec39IyEx_6qawtMGysU/edit?usp=sharing"",""สบก!DI22"")"),330680)</f>
        <v>330680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IFERROR(__xludf.DUMMYFUNCTION("IMPORTRANGE(""https://docs.google.com/spreadsheets/d/1Yj_ptqi66GCucihVvJfMjLAmec39IyEx_6qawtMGysU/edit?usp=sharing"",""สบก!DJ22"")"),43000)</f>
        <v>43000</v>
      </c>
      <c r="M337" s="103"/>
      <c r="N337" s="93">
        <f ca="1">IFERROR(__xludf.DUMMYFUNCTION("IMPORTRANGE(""https://docs.google.com/spreadsheets/d/1Yj_ptqi66GCucihVvJfMjLAmec39IyEx_6qawtMGysU/edit?usp=sharing"",""สบก!DN22"")"),43000)</f>
        <v>43000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IFERROR(__xludf.DUMMYFUNCTION("IMPORTRANGE(""https://docs.google.com/spreadsheets/d/11923uPwbBZFjjGgGUA6NLw09EwE0CqkOc4q9oUmW1yo/edit?usp=sharing"",""เชียงใหม่!I234"")"),0)</f>
        <v>0</v>
      </c>
      <c r="J339" s="197">
        <f ca="1">IFERROR(__xludf.DUMMYFUNCTION("IMPORTRANGE(""https://docs.google.com/spreadsheets/d/11923uPwbBZFjjGgGUA6NLw09EwE0CqkOc4q9oUmW1yo/edit?usp=sharing"",""เชียงใหม่!J234"")"),58)</f>
        <v>58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IFERROR(__xludf.DUMMYFUNCTION("IMPORTRANGE(""https://docs.google.com/spreadsheets/d/11923uPwbBZFjjGgGUA6NLw09EwE0CqkOc4q9oUmW1yo/edit?usp=sharing"",""เชียงใหม่!I235"")"),1060)</f>
        <v>1060</v>
      </c>
      <c r="J340" s="197">
        <f ca="1">IFERROR(__xludf.DUMMYFUNCTION("IMPORTRANGE(""https://docs.google.com/spreadsheets/d/11923uPwbBZFjjGgGUA6NLw09EwE0CqkOc4q9oUmW1yo/edit?usp=sharing"",""เชียงใหม่!J235"")"),126.05)</f>
        <v>126.05</v>
      </c>
      <c r="K340" s="350">
        <f t="shared" ca="1" si="103"/>
        <v>11.891509433962264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IFERROR(__xludf.DUMMYFUNCTION("IMPORTRANGE(""https://docs.google.com/spreadsheets/d/11923uPwbBZFjjGgGUA6NLw09EwE0CqkOc4q9oUmW1yo/edit?usp=sharing"",""เชียงใหม่!I236"")"),315)</f>
        <v>315</v>
      </c>
      <c r="J341" s="197">
        <f ca="1">IFERROR(__xludf.DUMMYFUNCTION("IMPORTRANGE(""https://docs.google.com/spreadsheets/d/11923uPwbBZFjjGgGUA6NLw09EwE0CqkOc4q9oUmW1yo/edit?usp=sharing"",""เชียงใหม่!J236"")"),83)</f>
        <v>83</v>
      </c>
      <c r="K341" s="350">
        <f t="shared" ca="1" si="103"/>
        <v>26.349206349206348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IFERROR(__xludf.DUMMYFUNCTION("IMPORTRANGE(""https://docs.google.com/spreadsheets/d/11923uPwbBZFjjGgGUA6NLw09EwE0CqkOc4q9oUmW1yo/edit?usp=sharing"",""เชียงใหม่!I237"")"),0)</f>
        <v>0</v>
      </c>
      <c r="J342" s="197">
        <f ca="1">IFERROR(__xludf.DUMMYFUNCTION("IMPORTRANGE(""https://docs.google.com/spreadsheets/d/11923uPwbBZFjjGgGUA6NLw09EwE0CqkOc4q9oUmW1yo/edit?usp=sharing"",""เชียงใหม่!J237"")"),353.01)</f>
        <v>353.01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IFERROR(__xludf.DUMMYFUNCTION("IMPORTRANGE(""https://docs.google.com/spreadsheets/d/11923uPwbBZFjjGgGUA6NLw09EwE0CqkOc4q9oUmW1yo/edit?usp=sharing"",""เชียงใหม่!I238"")"),315)</f>
        <v>315</v>
      </c>
      <c r="J343" s="197">
        <f ca="1">IFERROR(__xludf.DUMMYFUNCTION("IMPORTRANGE(""https://docs.google.com/spreadsheets/d/11923uPwbBZFjjGgGUA6NLw09EwE0CqkOc4q9oUmW1yo/edit?usp=sharing"",""เชียงใหม่!J238"")"),0)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IFERROR(__xludf.DUMMYFUNCTION("IMPORTRANGE(""https://docs.google.com/spreadsheets/d/11923uPwbBZFjjGgGUA6NLw09EwE0CqkOc4q9oUmW1yo/edit?usp=sharing"",""เชียงใหม่!I239"")"),0)</f>
        <v>0</v>
      </c>
      <c r="J344" s="197">
        <f ca="1">IFERROR(__xludf.DUMMYFUNCTION("IMPORTRANGE(""https://docs.google.com/spreadsheets/d/11923uPwbBZFjjGgGUA6NLw09EwE0CqkOc4q9oUmW1yo/edit?usp=sharing"",""เชียงใหม่!J239"")"),0)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IFERROR(__xludf.DUMMYFUNCTION("IMPORTRANGE(""https://docs.google.com/spreadsheets/d/11923uPwbBZFjjGgGUA6NLw09EwE0CqkOc4q9oUmW1yo/edit?usp=sharing"",""เชียงใหม่!I240"")"),315)</f>
        <v>315</v>
      </c>
      <c r="J345" s="197">
        <f ca="1">IFERROR(__xludf.DUMMYFUNCTION("IMPORTRANGE(""https://docs.google.com/spreadsheets/d/11923uPwbBZFjjGgGUA6NLw09EwE0CqkOc4q9oUmW1yo/edit?usp=sharing"",""เชียงใหม่!J240"")"),33)</f>
        <v>33</v>
      </c>
      <c r="K345" s="350">
        <f t="shared" ca="1" si="103"/>
        <v>10.476190476190476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IFERROR(__xludf.DUMMYFUNCTION("IMPORTRANGE(""https://docs.google.com/spreadsheets/d/11923uPwbBZFjjGgGUA6NLw09EwE0CqkOc4q9oUmW1yo/edit?usp=sharing"",""เชียงใหม่!I241"")"),0)</f>
        <v>0</v>
      </c>
      <c r="J346" s="197">
        <f ca="1">IFERROR(__xludf.DUMMYFUNCTION("IMPORTRANGE(""https://docs.google.com/spreadsheets/d/11923uPwbBZFjjGgGUA6NLw09EwE0CqkOc4q9oUmW1yo/edit?usp=sharing"",""เชียงใหม่!J241"")"),190.1)</f>
        <v>190.1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IFERROR(__xludf.DUMMYFUNCTION("IMPORTRANGE(""https://docs.google.com/spreadsheets/d/11923uPwbBZFjjGgGUA6NLw09EwE0CqkOc4q9oUmW1yo/edit?usp=sharing"",""เชียงใหม่!L242"")"),2630279)</f>
        <v>2630279</v>
      </c>
      <c r="M347" s="366"/>
      <c r="N347" s="366">
        <f ca="1">IFERROR(__xludf.DUMMYFUNCTION("IMPORTRANGE(""https://docs.google.com/spreadsheets/d/11923uPwbBZFjjGgGUA6NLw09EwE0CqkOc4q9oUmW1yo/edit?usp=sharing"",""เชียงใหม่!M242"")"),524823.42)</f>
        <v>524823.42000000004</v>
      </c>
      <c r="O347" s="366">
        <f ca="1">+IF(L347&gt;0,N347*100/L347,0)</f>
        <v>19.953146415266215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IFERROR(__xludf.DUMMYFUNCTION("IMPORTRANGE(""https://docs.google.com/spreadsheets/d/11923uPwbBZFjjGgGUA6NLw09EwE0CqkOc4q9oUmW1yo/edit?usp=sharing"",""เชียงใหม่!I244"")"),100)</f>
        <v>100</v>
      </c>
      <c r="J349" s="379">
        <f ca="1">IFERROR(__xludf.DUMMYFUNCTION("IMPORTRANGE(""https://docs.google.com/spreadsheets/d/11923uPwbBZFjjGgGUA6NLw09EwE0CqkOc4q9oUmW1yo/edit?usp=sharing"",""เชียงใหม่!J244"")"),0)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IFERROR(__xludf.DUMMYFUNCTION("IMPORTRANGE(""https://docs.google.com/spreadsheets/d/11923uPwbBZFjjGgGUA6NLw09EwE0CqkOc4q9oUmW1yo/edit?usp=sharing"",""เชียงใหม่!L244"")"),317760)</f>
        <v>317760</v>
      </c>
      <c r="M349" s="381"/>
      <c r="N349" s="381">
        <f ca="1">IFERROR(__xludf.DUMMYFUNCTION("IMPORTRANGE(""https://docs.google.com/spreadsheets/d/11923uPwbBZFjjGgGUA6NLw09EwE0CqkOc4q9oUmW1yo/edit?usp=sharing"",""เชียงใหม่!M244"")"),97972.58)</f>
        <v>97972.58</v>
      </c>
      <c r="O349" s="381">
        <f ca="1">+IF(L349&gt;0,N349*100/L349,0)</f>
        <v>30.832257049345419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IFERROR(__xludf.DUMMYFUNCTION("IMPORTRANGE(""https://docs.google.com/spreadsheets/d/11923uPwbBZFjjGgGUA6NLw09EwE0CqkOc4q9oUmW1yo/edit?usp=sharing"",""เชียงใหม่!I245"")"),40)</f>
        <v>40</v>
      </c>
      <c r="J350" s="379">
        <f ca="1">IFERROR(__xludf.DUMMYFUNCTION("IMPORTRANGE(""https://docs.google.com/spreadsheets/d/11923uPwbBZFjjGgGUA6NLw09EwE0CqkOc4q9oUmW1yo/edit?usp=sharing"",""เชียงใหม่!J245"")"),40)</f>
        <v>40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IFERROR(__xludf.DUMMYFUNCTION("IMPORTRANGE(""https://docs.google.com/spreadsheets/d/11923uPwbBZFjjGgGUA6NLw09EwE0CqkOc4q9oUmW1yo/edit?usp=sharing"",""เชียงใหม่!L246"")"),0)</f>
        <v>0</v>
      </c>
      <c r="M351" s="172"/>
      <c r="N351" s="172">
        <f ca="1">IFERROR(__xludf.DUMMYFUNCTION("IMPORTRANGE(""https://docs.google.com/spreadsheets/d/11923uPwbBZFjjGgGUA6NLw09EwE0CqkOc4q9oUmW1yo/edit?usp=sharing"",""เชียงใหม่!M246"")"),0)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IFERROR(__xludf.DUMMYFUNCTION("IMPORTRANGE(""https://docs.google.com/spreadsheets/d/11923uPwbBZFjjGgGUA6NLw09EwE0CqkOc4q9oUmW1yo/edit?usp=sharing"",""เชียงใหม่!L247"")"),317760)</f>
        <v>317760</v>
      </c>
      <c r="M352" s="173"/>
      <c r="N352" s="172">
        <f ca="1">IFERROR(__xludf.DUMMYFUNCTION("IMPORTRANGE(""https://docs.google.com/spreadsheets/d/11923uPwbBZFjjGgGUA6NLw09EwE0CqkOc4q9oUmW1yo/edit?usp=sharing"",""เชียงใหม่!M247"")"),97972.58)</f>
        <v>97972.58</v>
      </c>
      <c r="O352" s="173">
        <f t="shared" ca="1" si="105"/>
        <v>30.832257049345419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IFERROR(__xludf.DUMMYFUNCTION("IMPORTRANGE(""https://docs.google.com/spreadsheets/d/11923uPwbBZFjjGgGUA6NLw09EwE0CqkOc4q9oUmW1yo/edit?usp=sharing"",""เชียงใหม่!L248"")"),0)</f>
        <v>0</v>
      </c>
      <c r="M353" s="178"/>
      <c r="N353" s="178">
        <f ca="1">IFERROR(__xludf.DUMMYFUNCTION("IMPORTRANGE(""https://docs.google.com/spreadsheets/d/11923uPwbBZFjjGgGUA6NLw09EwE0CqkOc4q9oUmW1yo/edit?usp=sharing"",""เชียงใหม่!M248"")"),0)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IFERROR(__xludf.DUMMYFUNCTION("IMPORTRANGE(""https://docs.google.com/spreadsheets/d/11923uPwbBZFjjGgGUA6NLw09EwE0CqkOc4q9oUmW1yo/edit?usp=sharing"",""เชียงใหม่!L249"")"),317760)</f>
        <v>317760</v>
      </c>
      <c r="M354" s="178"/>
      <c r="N354" s="175">
        <f ca="1">IFERROR(__xludf.DUMMYFUNCTION("IMPORTRANGE(""https://docs.google.com/spreadsheets/d/11923uPwbBZFjjGgGUA6NLw09EwE0CqkOc4q9oUmW1yo/edit?usp=sharing"",""เชียงใหม่!M249"")"),97972.58)</f>
        <v>97972.58</v>
      </c>
      <c r="O354" s="178">
        <f t="shared" ca="1" si="105"/>
        <v>30.832257049345419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IFERROR(__xludf.DUMMYFUNCTION("IMPORTRANGE(""https://docs.google.com/spreadsheets/d/11923uPwbBZFjjGgGUA6NLw09EwE0CqkOc4q9oUmW1yo/edit?usp=sharing"",""เชียงใหม่!M250"")"),50400)</f>
        <v>50400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IFERROR(__xludf.DUMMYFUNCTION("IMPORTRANGE(""https://docs.google.com/spreadsheets/d/11923uPwbBZFjjGgGUA6NLw09EwE0CqkOc4q9oUmW1yo/edit?usp=sharing"",""เชียงใหม่!M251"")"),0)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IFERROR(__xludf.DUMMYFUNCTION("IMPORTRANGE(""https://docs.google.com/spreadsheets/d/11923uPwbBZFjjGgGUA6NLw09EwE0CqkOc4q9oUmW1yo/edit?usp=sharing"",""เชียงใหม่!M252"")"),42225.58)</f>
        <v>42225.58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IFERROR(__xludf.DUMMYFUNCTION("IMPORTRANGE(""https://docs.google.com/spreadsheets/d/11923uPwbBZFjjGgGUA6NLw09EwE0CqkOc4q9oUmW1yo/edit?usp=sharing"",""เชียงใหม่!M253"")"),5347)</f>
        <v>5347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IFERROR(__xludf.DUMMYFUNCTION("IMPORTRANGE(""https://docs.google.com/spreadsheets/d/11923uPwbBZFjjGgGUA6NLw09EwE0CqkOc4q9oUmW1yo/edit?usp=sharing"",""เชียงใหม่!J255"")"),0)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IFERROR(__xludf.DUMMYFUNCTION("IMPORTRANGE(""https://docs.google.com/spreadsheets/d/11923uPwbBZFjjGgGUA6NLw09EwE0CqkOc4q9oUmW1yo/edit?usp=sharing"",""เชียงใหม่!J256"")"),1)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IFERROR(__xludf.DUMMYFUNCTION("IMPORTRANGE(""https://docs.google.com/spreadsheets/d/11923uPwbBZFjjGgGUA6NLw09EwE0CqkOc4q9oUmW1yo/edit?usp=sharing"",""เชียงใหม่!J257"")"),1)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IFERROR(__xludf.DUMMYFUNCTION("IMPORTRANGE(""https://docs.google.com/spreadsheets/d/11923uPwbBZFjjGgGUA6NLw09EwE0CqkOc4q9oUmW1yo/edit?usp=sharing"",""เชียงใหม่!J258"")"),1)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IFERROR(__xludf.DUMMYFUNCTION("IMPORTRANGE(""https://docs.google.com/spreadsheets/d/11923uPwbBZFjjGgGUA6NLw09EwE0CqkOc4q9oUmW1yo/edit?usp=sharing"",""เชียงใหม่!J166"")"),0)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IFERROR(__xludf.DUMMYFUNCTION("IMPORTRANGE(""https://docs.google.com/spreadsheets/d/11923uPwbBZFjjGgGUA6NLw09EwE0CqkOc4q9oUmW1yo/edit?usp=sharing"",""เชียงใหม่!J166"")"),0)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IFERROR(__xludf.DUMMYFUNCTION("IMPORTRANGE(""https://docs.google.com/spreadsheets/d/11923uPwbBZFjjGgGUA6NLw09EwE0CqkOc4q9oUmW1yo/edit?usp=sharing"",""เชียงใหม่!J166"")"),0)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IFERROR(__xludf.DUMMYFUNCTION("IMPORTRANGE(""https://docs.google.com/spreadsheets/d/11923uPwbBZFjjGgGUA6NLw09EwE0CqkOc4q9oUmW1yo/edit?usp=sharing"",""เชียงใหม่!J166"")"),0)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IFERROR(__xludf.DUMMYFUNCTION("IMPORTRANGE(""https://docs.google.com/spreadsheets/d/11923uPwbBZFjjGgGUA6NLw09EwE0CqkOc4q9oUmW1yo/edit?usp=sharing"",""เชียงใหม่!I263"")"),40)</f>
        <v>40</v>
      </c>
      <c r="J368" s="197">
        <f ca="1">IFERROR(__xludf.DUMMYFUNCTION("IMPORTRANGE(""https://docs.google.com/spreadsheets/d/11923uPwbBZFjjGgGUA6NLw09EwE0CqkOc4q9oUmW1yo/edit?usp=sharing"",""เชียงใหม่!J263"")"),40)</f>
        <v>40</v>
      </c>
      <c r="K368" s="171">
        <f t="shared" ca="1" si="106"/>
        <v>100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IFERROR(__xludf.DUMMYFUNCTION("IMPORTRANGE(""https://docs.google.com/spreadsheets/d/11923uPwbBZFjjGgGUA6NLw09EwE0CqkOc4q9oUmW1yo/edit?usp=sharing"",""เชียงใหม่!I164"")"),0)</f>
        <v>0</v>
      </c>
      <c r="J369" s="213">
        <f ca="1">IFERROR(__xludf.DUMMYFUNCTION("IMPORTRANGE(""https://docs.google.com/spreadsheets/d/11923uPwbBZFjjGgGUA6NLw09EwE0CqkOc4q9oUmW1yo/edit?usp=sharing"",""เชียงใหม่!J164"")"),0)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IFERROR(__xludf.DUMMYFUNCTION("IMPORTRANGE(""https://docs.google.com/spreadsheets/d/11923uPwbBZFjjGgGUA6NLw09EwE0CqkOc4q9oUmW1yo/edit?usp=sharing"",""เชียงใหม่!I265"")"),40)</f>
        <v>40</v>
      </c>
      <c r="J370" s="213">
        <f ca="1">IFERROR(__xludf.DUMMYFUNCTION("IMPORTRANGE(""https://docs.google.com/spreadsheets/d/11923uPwbBZFjjGgGUA6NLw09EwE0CqkOc4q9oUmW1yo/edit?usp=sharing"",""เชียงใหม่!J265"")"),40)</f>
        <v>40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IFERROR(__xludf.DUMMYFUNCTION("IMPORTRANGE(""https://docs.google.com/spreadsheets/d/11923uPwbBZFjjGgGUA6NLw09EwE0CqkOc4q9oUmW1yo/edit?usp=sharing"",""เชียงใหม่!I164"")"),0)</f>
        <v>0</v>
      </c>
      <c r="J371" s="198">
        <f ca="1">IFERROR(__xludf.DUMMYFUNCTION("IMPORTRANGE(""https://docs.google.com/spreadsheets/d/11923uPwbBZFjjGgGUA6NLw09EwE0CqkOc4q9oUmW1yo/edit?usp=sharing"",""เชียงใหม่!J164"")"),0)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IFERROR(__xludf.DUMMYFUNCTION("IMPORTRANGE(""https://docs.google.com/spreadsheets/d/11923uPwbBZFjjGgGUA6NLw09EwE0CqkOc4q9oUmW1yo/edit?usp=sharing"",""เชียงใหม่!I267"")"),40)</f>
        <v>40</v>
      </c>
      <c r="J372" s="198">
        <f ca="1">IFERROR(__xludf.DUMMYFUNCTION("IMPORTRANGE(""https://docs.google.com/spreadsheets/d/11923uPwbBZFjjGgGUA6NLw09EwE0CqkOc4q9oUmW1yo/edit?usp=sharing"",""เชียงใหม่!J267"")"),40)</f>
        <v>40</v>
      </c>
      <c r="K372" s="171">
        <f t="shared" ca="1" si="106"/>
        <v>100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IFERROR(__xludf.DUMMYFUNCTION("IMPORTRANGE(""https://docs.google.com/spreadsheets/d/11923uPwbBZFjjGgGUA6NLw09EwE0CqkOc4q9oUmW1yo/edit?usp=sharing"",""เชียงใหม่!I164"")"),0)</f>
        <v>0</v>
      </c>
      <c r="J373" s="213">
        <f ca="1">IFERROR(__xludf.DUMMYFUNCTION("IMPORTRANGE(""https://docs.google.com/spreadsheets/d/11923uPwbBZFjjGgGUA6NLw09EwE0CqkOc4q9oUmW1yo/edit?usp=sharing"",""เชียงใหม่!J164"")"),0)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IFERROR(__xludf.DUMMYFUNCTION("IMPORTRANGE(""https://docs.google.com/spreadsheets/d/11923uPwbBZFjjGgGUA6NLw09EwE0CqkOc4q9oUmW1yo/edit?usp=sharing"",""เชียงใหม่!I164"")"),0)</f>
        <v>0</v>
      </c>
      <c r="J374" s="197">
        <f ca="1">IFERROR(__xludf.DUMMYFUNCTION("IMPORTRANGE(""https://docs.google.com/spreadsheets/d/11923uPwbBZFjjGgGUA6NLw09EwE0CqkOc4q9oUmW1yo/edit?usp=sharing"",""เชียงใหม่!J164"")"),0)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IFERROR(__xludf.DUMMYFUNCTION("IMPORTRANGE(""https://docs.google.com/spreadsheets/d/11923uPwbBZFjjGgGUA6NLw09EwE0CqkOc4q9oUmW1yo/edit?usp=sharing"",""เชียงใหม่!I270"")"),100)</f>
        <v>100</v>
      </c>
      <c r="J375" s="197">
        <f ca="1">IFERROR(__xludf.DUMMYFUNCTION("IMPORTRANGE(""https://docs.google.com/spreadsheets/d/11923uPwbBZFjjGgGUA6NLw09EwE0CqkOc4q9oUmW1yo/edit?usp=sharing"",""เชียงใหม่!J270"")"),0)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IFERROR(__xludf.DUMMYFUNCTION("IMPORTRANGE(""https://docs.google.com/spreadsheets/d/11923uPwbBZFjjGgGUA6NLw09EwE0CqkOc4q9oUmW1yo/edit?usp=sharing"",""เชียงใหม่!I271"")"),32)</f>
        <v>32</v>
      </c>
      <c r="J376" s="198">
        <f ca="1">IFERROR(__xludf.DUMMYFUNCTION("IMPORTRANGE(""https://docs.google.com/spreadsheets/d/11923uPwbBZFjjGgGUA6NLw09EwE0CqkOc4q9oUmW1yo/edit?usp=sharing"",""เชียงใหม่!J271"")"),0)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IFERROR(__xludf.DUMMYFUNCTION("IMPORTRANGE(""https://docs.google.com/spreadsheets/d/11923uPwbBZFjjGgGUA6NLw09EwE0CqkOc4q9oUmW1yo/edit?usp=sharing"",""เชียงใหม่!I272"")"),68)</f>
        <v>68</v>
      </c>
      <c r="J377" s="213">
        <f ca="1">IFERROR(__xludf.DUMMYFUNCTION("IMPORTRANGE(""https://docs.google.com/spreadsheets/d/11923uPwbBZFjjGgGUA6NLw09EwE0CqkOc4q9oUmW1yo/edit?usp=sharing"",""เชียงใหม่!J272"")"),0)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IFERROR(__xludf.DUMMYFUNCTION("IMPORTRANGE(""https://docs.google.com/spreadsheets/d/11923uPwbBZFjjGgGUA6NLw09EwE0CqkOc4q9oUmW1yo/edit?usp=sharing"",""เชียงใหม่!J273"")"),0)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IFERROR(__xludf.DUMMYFUNCTION("IMPORTRANGE(""https://docs.google.com/spreadsheets/d/11923uPwbBZFjjGgGUA6NLw09EwE0CqkOc4q9oUmW1yo/edit?usp=sharing"",""เชียงใหม่!J274"")"),0)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IFERROR(__xludf.DUMMYFUNCTION("IMPORTRANGE(""https://docs.google.com/spreadsheets/d/11923uPwbBZFjjGgGUA6NLw09EwE0CqkOc4q9oUmW1yo/edit?usp=sharing"",""เชียงใหม่!I275"")"),1000)</f>
        <v>1000</v>
      </c>
      <c r="J380" s="379">
        <f ca="1">IFERROR(__xludf.DUMMYFUNCTION("IMPORTRANGE(""https://docs.google.com/spreadsheets/d/11923uPwbBZFjjGgGUA6NLw09EwE0CqkOc4q9oUmW1yo/edit?usp=sharing"",""เชียงใหม่!J275"")"),0)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IFERROR(__xludf.DUMMYFUNCTION("IMPORTRANGE(""https://docs.google.com/spreadsheets/d/11923uPwbBZFjjGgGUA6NLw09EwE0CqkOc4q9oUmW1yo/edit?usp=sharing"",""เชียงใหม่!L275"")"),1028520)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IFERROR(__xludf.DUMMYFUNCTION("IMPORTRANGE(""https://docs.google.com/spreadsheets/d/11923uPwbBZFjjGgGUA6NLw09EwE0CqkOc4q9oUmW1yo/edit?usp=sharing"",""เชียงใหม่!M275"")"),90235.58)</f>
        <v>90235.58</v>
      </c>
      <c r="O380" s="381">
        <f ca="1">+IF(L380&gt;0,N380*100/L380,0)</f>
        <v>8.773342278225023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IFERROR(__xludf.DUMMYFUNCTION("IMPORTRANGE(""https://docs.google.com/spreadsheets/d/11923uPwbBZFjjGgGUA6NLw09EwE0CqkOc4q9oUmW1yo/edit?usp=sharing"",""เชียงใหม่!I276"")"),100)</f>
        <v>100</v>
      </c>
      <c r="J381" s="379">
        <f ca="1">IFERROR(__xludf.DUMMYFUNCTION("IMPORTRANGE(""https://docs.google.com/spreadsheets/d/11923uPwbBZFjjGgGUA6NLw09EwE0CqkOc4q9oUmW1yo/edit?usp=sharing"",""เชียงใหม่!J276"")"),100)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IFERROR(__xludf.DUMMYFUNCTION("IMPORTRANGE(""https://docs.google.com/spreadsheets/d/11923uPwbBZFjjGgGUA6NLw09EwE0CqkOc4q9oUmW1yo/edit?usp=sharing"",""เชียงใหม่!L277"")"),0)</f>
        <v>0</v>
      </c>
      <c r="M382" s="172"/>
      <c r="N382" s="172">
        <f ca="1">IFERROR(__xludf.DUMMYFUNCTION("IMPORTRANGE(""https://docs.google.com/spreadsheets/d/11923uPwbBZFjjGgGUA6NLw09EwE0CqkOc4q9oUmW1yo/edit?usp=sharing"",""เชียงใหม่!M277"")"),0)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IFERROR(__xludf.DUMMYFUNCTION("IMPORTRANGE(""https://docs.google.com/spreadsheets/d/11923uPwbBZFjjGgGUA6NLw09EwE0CqkOc4q9oUmW1yo/edit?usp=sharing"",""เชียงใหม่!L278"")"),1028520)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IFERROR(__xludf.DUMMYFUNCTION("IMPORTRANGE(""https://docs.google.com/spreadsheets/d/11923uPwbBZFjjGgGUA6NLw09EwE0CqkOc4q9oUmW1yo/edit?usp=sharing"",""เชียงใหม่!M278"")"),90235.58)</f>
        <v>90235.58</v>
      </c>
      <c r="O383" s="173">
        <f t="shared" ca="1" si="109"/>
        <v>8.773342278225023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IFERROR(__xludf.DUMMYFUNCTION("IMPORTRANGE(""https://docs.google.com/spreadsheets/d/11923uPwbBZFjjGgGUA6NLw09EwE0CqkOc4q9oUmW1yo/edit?usp=sharing"",""เชียงใหม่!L279"")"),0)</f>
        <v>0</v>
      </c>
      <c r="M384" s="178"/>
      <c r="N384" s="178">
        <f ca="1">IFERROR(__xludf.DUMMYFUNCTION("IMPORTRANGE(""https://docs.google.com/spreadsheets/d/11923uPwbBZFjjGgGUA6NLw09EwE0CqkOc4q9oUmW1yo/edit?usp=sharing"",""เชียงใหม่!M279"")"),0)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IFERROR(__xludf.DUMMYFUNCTION("IMPORTRANGE(""https://docs.google.com/spreadsheets/d/11923uPwbBZFjjGgGUA6NLw09EwE0CqkOc4q9oUmW1yo/edit?usp=sharing"",""เชียงใหม่!L280"")"),1028520)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IFERROR(__xludf.DUMMYFUNCTION("IMPORTRANGE(""https://docs.google.com/spreadsheets/d/11923uPwbBZFjjGgGUA6NLw09EwE0CqkOc4q9oUmW1yo/edit?usp=sharing"",""เชียงใหม่!M280"")"),90235.58)</f>
        <v>90235.58</v>
      </c>
      <c r="O385" s="178">
        <f t="shared" ca="1" si="109"/>
        <v>8.773342278225023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IFERROR(__xludf.DUMMYFUNCTION("IMPORTRANGE(""https://docs.google.com/spreadsheets/d/11923uPwbBZFjjGgGUA6NLw09EwE0CqkOc4q9oUmW1yo/edit?usp=sharing"",""เชียงใหม่!M281"")"),44450)</f>
        <v>44450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IFERROR(__xludf.DUMMYFUNCTION("IMPORTRANGE(""https://docs.google.com/spreadsheets/d/11923uPwbBZFjjGgGUA6NLw09EwE0CqkOc4q9oUmW1yo/edit?usp=sharing"",""เชียงใหม่!M282"")"),0)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IFERROR(__xludf.DUMMYFUNCTION("IMPORTRANGE(""https://docs.google.com/spreadsheets/d/11923uPwbBZFjjGgGUA6NLw09EwE0CqkOc4q9oUmW1yo/edit?usp=sharing"",""เชียงใหม่!M283"")"),42225.58)</f>
        <v>42225.58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IFERROR(__xludf.DUMMYFUNCTION("IMPORTRANGE(""https://docs.google.com/spreadsheets/d/11923uPwbBZFjjGgGUA6NLw09EwE0CqkOc4q9oUmW1yo/edit?usp=sharing"",""เชียงใหม่!M284"")"),3560)</f>
        <v>3560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IFERROR(__xludf.DUMMYFUNCTION("IMPORTRANGE(""https://docs.google.com/spreadsheets/d/11923uPwbBZFjjGgGUA6NLw09EwE0CqkOc4q9oUmW1yo/edit?usp=sharing"",""เชียงใหม่!J286"")"),0)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IFERROR(__xludf.DUMMYFUNCTION("IMPORTRANGE(""https://docs.google.com/spreadsheets/d/11923uPwbBZFjjGgGUA6NLw09EwE0CqkOc4q9oUmW1yo/edit?usp=sharing"",""เชียงใหม่!J287"")"),1)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IFERROR(__xludf.DUMMYFUNCTION("IMPORTRANGE(""https://docs.google.com/spreadsheets/d/11923uPwbBZFjjGgGUA6NLw09EwE0CqkOc4q9oUmW1yo/edit?usp=sharing"",""เชียงใหม่!J288"")"),1)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IFERROR(__xludf.DUMMYFUNCTION("IMPORTRANGE(""https://docs.google.com/spreadsheets/d/11923uPwbBZFjjGgGUA6NLw09EwE0CqkOc4q9oUmW1yo/edit?usp=sharing"",""เชียงใหม่!J289"")"),1)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IFERROR(__xludf.DUMMYFUNCTION("IMPORTRANGE(""https://docs.google.com/spreadsheets/d/11923uPwbBZFjjGgGUA6NLw09EwE0CqkOc4q9oUmW1yo/edit?usp=sharing"",""เชียงใหม่!I291"")"),100)</f>
        <v>100</v>
      </c>
      <c r="J396" s="207">
        <f ca="1">IFERROR(__xludf.DUMMYFUNCTION("IMPORTRANGE(""https://docs.google.com/spreadsheets/d/11923uPwbBZFjjGgGUA6NLw09EwE0CqkOc4q9oUmW1yo/edit?usp=sharing"",""เชียงใหม่!J291"")"),100)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IFERROR(__xludf.DUMMYFUNCTION("IMPORTRANGE(""https://docs.google.com/spreadsheets/d/11923uPwbBZFjjGgGUA6NLw09EwE0CqkOc4q9oUmW1yo/edit?usp=sharing"",""เชียงใหม่!I292"")"),1000)</f>
        <v>1000</v>
      </c>
      <c r="J397" s="207">
        <f ca="1">IFERROR(__xludf.DUMMYFUNCTION("IMPORTRANGE(""https://docs.google.com/spreadsheets/d/11923uPwbBZFjjGgGUA6NLw09EwE0CqkOc4q9oUmW1yo/edit?usp=sharing"",""เชียงใหม่!J292"")"),0)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IFERROR(__xludf.DUMMYFUNCTION("IMPORTRANGE(""https://docs.google.com/spreadsheets/d/11923uPwbBZFjjGgGUA6NLw09EwE0CqkOc4q9oUmW1yo/edit?usp=sharing"",""เชียงใหม่!I293"")"),100)</f>
        <v>100</v>
      </c>
      <c r="J398" s="207">
        <f ca="1">IFERROR(__xludf.DUMMYFUNCTION("IMPORTRANGE(""https://docs.google.com/spreadsheets/d/11923uPwbBZFjjGgGUA6NLw09EwE0CqkOc4q9oUmW1yo/edit?usp=sharing"",""เชียงใหม่!J293"")"),0)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IFERROR(__xludf.DUMMYFUNCTION("IMPORTRANGE(""https://docs.google.com/spreadsheets/d/11923uPwbBZFjjGgGUA6NLw09EwE0CqkOc4q9oUmW1yo/edit?usp=sharing"",""เชียงใหม่!J294"")"),0)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IFERROR(__xludf.DUMMYFUNCTION("IMPORTRANGE(""https://docs.google.com/spreadsheets/d/11923uPwbBZFjjGgGUA6NLw09EwE0CqkOc4q9oUmW1yo/edit?usp=sharing"",""เชียงใหม่!J295"")"),0)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IFERROR(__xludf.DUMMYFUNCTION("IMPORTRANGE(""https://docs.google.com/spreadsheets/d/11923uPwbBZFjjGgGUA6NLw09EwE0CqkOc4q9oUmW1yo/edit?usp=sharing"",""เชียงใหม่!I296"")"),105)</f>
        <v>105</v>
      </c>
      <c r="J401" s="379">
        <f ca="1">IFERROR(__xludf.DUMMYFUNCTION("IMPORTRANGE(""https://docs.google.com/spreadsheets/d/11923uPwbBZFjjGgGUA6NLw09EwE0CqkOc4q9oUmW1yo/edit?usp=sharing"",""เชียงใหม่!J296"")"),105)</f>
        <v>105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IFERROR(__xludf.DUMMYFUNCTION("IMPORTRANGE(""https://docs.google.com/spreadsheets/d/11923uPwbBZFjjGgGUA6NLw09EwE0CqkOc4q9oUmW1yo/edit?usp=sharing"",""เชียงใหม่!L296"")"),131710)</f>
        <v>131710</v>
      </c>
      <c r="M401" s="381"/>
      <c r="N401" s="381">
        <f ca="1">IFERROR(__xludf.DUMMYFUNCTION("IMPORTRANGE(""https://docs.google.com/spreadsheets/d/11923uPwbBZFjjGgGUA6NLw09EwE0CqkOc4q9oUmW1yo/edit?usp=sharing"",""เชียงใหม่!M296"")"),87215)</f>
        <v>87215</v>
      </c>
      <c r="O401" s="381">
        <f ca="1">+IF(L401&gt;0,N401*100/L401,0)</f>
        <v>66.217447422367329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IFERROR(__xludf.DUMMYFUNCTION("IMPORTRANGE(""https://docs.google.com/spreadsheets/d/11923uPwbBZFjjGgGUA6NLw09EwE0CqkOc4q9oUmW1yo/edit?usp=sharing"",""เชียงใหม่!I297"")"),35)</f>
        <v>35</v>
      </c>
      <c r="J402" s="379">
        <f ca="1">IFERROR(__xludf.DUMMYFUNCTION("IMPORTRANGE(""https://docs.google.com/spreadsheets/d/11923uPwbBZFjjGgGUA6NLw09EwE0CqkOc4q9oUmW1yo/edit?usp=sharing"",""เชียงใหม่!J297"")"),35)</f>
        <v>35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IFERROR(__xludf.DUMMYFUNCTION("IMPORTRANGE(""https://docs.google.com/spreadsheets/d/11923uPwbBZFjjGgGUA6NLw09EwE0CqkOc4q9oUmW1yo/edit?usp=sharing"",""เชียงใหม่!L298"")"),0)</f>
        <v>0</v>
      </c>
      <c r="M403" s="172"/>
      <c r="N403" s="178">
        <f ca="1">IFERROR(__xludf.DUMMYFUNCTION("IMPORTRANGE(""https://docs.google.com/spreadsheets/d/11923uPwbBZFjjGgGUA6NLw09EwE0CqkOc4q9oUmW1yo/edit?usp=sharing"",""เชียงใหม่!M298"")"),0)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IFERROR(__xludf.DUMMYFUNCTION("IMPORTRANGE(""https://docs.google.com/spreadsheets/d/11923uPwbBZFjjGgGUA6NLw09EwE0CqkOc4q9oUmW1yo/edit?usp=sharing"",""เชียงใหม่!L299"")"),131710)</f>
        <v>131710</v>
      </c>
      <c r="M404" s="173"/>
      <c r="N404" s="178">
        <f ca="1">IFERROR(__xludf.DUMMYFUNCTION("IMPORTRANGE(""https://docs.google.com/spreadsheets/d/11923uPwbBZFjjGgGUA6NLw09EwE0CqkOc4q9oUmW1yo/edit?usp=sharing"",""เชียงใหม่!M299"")"),87215)</f>
        <v>87215</v>
      </c>
      <c r="O404" s="178">
        <f t="shared" ca="1" si="112"/>
        <v>66.217447422367329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IFERROR(__xludf.DUMMYFUNCTION("IMPORTRANGE(""https://docs.google.com/spreadsheets/d/11923uPwbBZFjjGgGUA6NLw09EwE0CqkOc4q9oUmW1yo/edit?usp=sharing"",""เชียงใหม่!L300"")"),0)</f>
        <v>0</v>
      </c>
      <c r="M405" s="178"/>
      <c r="N405" s="178">
        <f ca="1">IFERROR(__xludf.DUMMYFUNCTION("IMPORTRANGE(""https://docs.google.com/spreadsheets/d/11923uPwbBZFjjGgGUA6NLw09EwE0CqkOc4q9oUmW1yo/edit?usp=sharing"",""เชียงใหม่!M300"")"),0)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IFERROR(__xludf.DUMMYFUNCTION("IMPORTRANGE(""https://docs.google.com/spreadsheets/d/11923uPwbBZFjjGgGUA6NLw09EwE0CqkOc4q9oUmW1yo/edit?usp=sharing"",""เชียงใหม่!L301"")"),131710)</f>
        <v>131710</v>
      </c>
      <c r="M406" s="178"/>
      <c r="N406" s="178">
        <f ca="1">IFERROR(__xludf.DUMMYFUNCTION("IMPORTRANGE(""https://docs.google.com/spreadsheets/d/11923uPwbBZFjjGgGUA6NLw09EwE0CqkOc4q9oUmW1yo/edit?usp=sharing"",""เชียงใหม่!M301"")"),87215)</f>
        <v>87215</v>
      </c>
      <c r="O406" s="178">
        <f t="shared" ca="1" si="112"/>
        <v>66.217447422367329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IFERROR(__xludf.DUMMYFUNCTION("IMPORTRANGE(""https://docs.google.com/spreadsheets/d/11923uPwbBZFjjGgGUA6NLw09EwE0CqkOc4q9oUmW1yo/edit?usp=sharing"",""เชียงใหม่!M302"")"),74225)</f>
        <v>74225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IFERROR(__xludf.DUMMYFUNCTION("IMPORTRANGE(""https://docs.google.com/spreadsheets/d/11923uPwbBZFjjGgGUA6NLw09EwE0CqkOc4q9oUmW1yo/edit?usp=sharing"",""เชียงใหม่!M303"")"),0)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IFERROR(__xludf.DUMMYFUNCTION("IMPORTRANGE(""https://docs.google.com/spreadsheets/d/11923uPwbBZFjjGgGUA6NLw09EwE0CqkOc4q9oUmW1yo/edit?usp=sharing"",""เชียงใหม่!M304"")"),0)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IFERROR(__xludf.DUMMYFUNCTION("IMPORTRANGE(""https://docs.google.com/spreadsheets/d/11923uPwbBZFjjGgGUA6NLw09EwE0CqkOc4q9oUmW1yo/edit?usp=sharing"",""เชียงใหม่!M305"")"),12990)</f>
        <v>12990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IFERROR(__xludf.DUMMYFUNCTION("IMPORTRANGE(""https://docs.google.com/spreadsheets/d/11923uPwbBZFjjGgGUA6NLw09EwE0CqkOc4q9oUmW1yo/edit?usp=sharing"",""เชียงใหม่!J307"")"),0)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IFERROR(__xludf.DUMMYFUNCTION("IMPORTRANGE(""https://docs.google.com/spreadsheets/d/11923uPwbBZFjjGgGUA6NLw09EwE0CqkOc4q9oUmW1yo/edit?usp=sharing"",""เชียงใหม่!J308"")"),1)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IFERROR(__xludf.DUMMYFUNCTION("IMPORTRANGE(""https://docs.google.com/spreadsheets/d/11923uPwbBZFjjGgGUA6NLw09EwE0CqkOc4q9oUmW1yo/edit?usp=sharing"",""เชียงใหม่!J309"")"),1)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IFERROR(__xludf.DUMMYFUNCTION("IMPORTRANGE(""https://docs.google.com/spreadsheets/d/11923uPwbBZFjjGgGUA6NLw09EwE0CqkOc4q9oUmW1yo/edit?usp=sharing"",""เชียงใหม่!J310"")"),1)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IFERROR(__xludf.DUMMYFUNCTION("IMPORTRANGE(""https://docs.google.com/spreadsheets/d/11923uPwbBZFjjGgGUA6NLw09EwE0CqkOc4q9oUmW1yo/edit?usp=sharing"",""เชียงใหม่!I311"")"),35)</f>
        <v>35</v>
      </c>
      <c r="J416" s="210">
        <f ca="1">IFERROR(__xludf.DUMMYFUNCTION("IMPORTRANGE(""https://docs.google.com/spreadsheets/d/11923uPwbBZFjjGgGUA6NLw09EwE0CqkOc4q9oUmW1yo/edit?usp=sharing"",""เชียงใหม่!J311"")"),35)</f>
        <v>35</v>
      </c>
      <c r="K416" s="211">
        <f t="shared" ref="K416:K432" ca="1" si="113">IF(I416&gt;0,J416*100/I416,0)</f>
        <v>100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IFERROR(__xludf.DUMMYFUNCTION("IMPORTRANGE(""https://docs.google.com/spreadsheets/d/11923uPwbBZFjjGgGUA6NLw09EwE0CqkOc4q9oUmW1yo/edit?usp=sharing"",""เชียงใหม่!I312"")"),10)</f>
        <v>10</v>
      </c>
      <c r="J417" s="400">
        <f ca="1">IFERROR(__xludf.DUMMYFUNCTION("IMPORTRANGE(""https://docs.google.com/spreadsheets/d/11923uPwbBZFjjGgGUA6NLw09EwE0CqkOc4q9oUmW1yo/edit?usp=sharing"",""เชียงใหม่!J312"")"),10)</f>
        <v>10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IFERROR(__xludf.DUMMYFUNCTION("IMPORTRANGE(""https://docs.google.com/spreadsheets/d/11923uPwbBZFjjGgGUA6NLw09EwE0CqkOc4q9oUmW1yo/edit?usp=sharing"",""เชียงใหม่!I313"")"),30)</f>
        <v>30</v>
      </c>
      <c r="J418" s="401">
        <f ca="1">IFERROR(__xludf.DUMMYFUNCTION("IMPORTRANGE(""https://docs.google.com/spreadsheets/d/11923uPwbBZFjjGgGUA6NLw09EwE0CqkOc4q9oUmW1yo/edit?usp=sharing"",""เชียงใหม่!J313"")"),30)</f>
        <v>30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IFERROR(__xludf.DUMMYFUNCTION("IMPORTRANGE(""https://docs.google.com/spreadsheets/d/11923uPwbBZFjjGgGUA6NLw09EwE0CqkOc4q9oUmW1yo/edit?usp=sharing"",""เชียงใหม่!I314"")"),10)</f>
        <v>10</v>
      </c>
      <c r="J419" s="402">
        <f ca="1">IFERROR(__xludf.DUMMYFUNCTION("IMPORTRANGE(""https://docs.google.com/spreadsheets/d/11923uPwbBZFjjGgGUA6NLw09EwE0CqkOc4q9oUmW1yo/edit?usp=sharing"",""เชียงใหม่!J314"")"),10)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IFERROR(__xludf.DUMMYFUNCTION("IMPORTRANGE(""https://docs.google.com/spreadsheets/d/11923uPwbBZFjjGgGUA6NLw09EwE0CqkOc4q9oUmW1yo/edit?usp=sharing"",""เชียงใหม่!I315"")"),10)</f>
        <v>10</v>
      </c>
      <c r="J420" s="402">
        <f ca="1">IFERROR(__xludf.DUMMYFUNCTION("IMPORTRANGE(""https://docs.google.com/spreadsheets/d/11923uPwbBZFjjGgGUA6NLw09EwE0CqkOc4q9oUmW1yo/edit?usp=sharing"",""เชียงใหม่!J315"")"),10)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IFERROR(__xludf.DUMMYFUNCTION("IMPORTRANGE(""https://docs.google.com/spreadsheets/d/11923uPwbBZFjjGgGUA6NLw09EwE0CqkOc4q9oUmW1yo/edit?usp=sharing"",""เชียงใหม่!I316"")"),15)</f>
        <v>15</v>
      </c>
      <c r="J421" s="400">
        <f ca="1">IFERROR(__xludf.DUMMYFUNCTION("IMPORTRANGE(""https://docs.google.com/spreadsheets/d/11923uPwbBZFjjGgGUA6NLw09EwE0CqkOc4q9oUmW1yo/edit?usp=sharing"",""เชียงใหม่!J316"")"),15)</f>
        <v>15</v>
      </c>
      <c r="K421" s="211">
        <f t="shared" ca="1" si="113"/>
        <v>100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IFERROR(__xludf.DUMMYFUNCTION("IMPORTRANGE(""https://docs.google.com/spreadsheets/d/11923uPwbBZFjjGgGUA6NLw09EwE0CqkOc4q9oUmW1yo/edit?usp=sharing"",""เชียงใหม่!I317"")"),45)</f>
        <v>45</v>
      </c>
      <c r="J422" s="401">
        <f ca="1">IFERROR(__xludf.DUMMYFUNCTION("IMPORTRANGE(""https://docs.google.com/spreadsheets/d/11923uPwbBZFjjGgGUA6NLw09EwE0CqkOc4q9oUmW1yo/edit?usp=sharing"",""เชียงใหม่!J317"")"),45)</f>
        <v>45</v>
      </c>
      <c r="K422" s="211">
        <f t="shared" ca="1" si="113"/>
        <v>100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IFERROR(__xludf.DUMMYFUNCTION("IMPORTRANGE(""https://docs.google.com/spreadsheets/d/11923uPwbBZFjjGgGUA6NLw09EwE0CqkOc4q9oUmW1yo/edit?usp=sharing"",""เชียงใหม่!I318"")"),15)</f>
        <v>15</v>
      </c>
      <c r="J423" s="402">
        <f ca="1">IFERROR(__xludf.DUMMYFUNCTION("IMPORTRANGE(""https://docs.google.com/spreadsheets/d/11923uPwbBZFjjGgGUA6NLw09EwE0CqkOc4q9oUmW1yo/edit?usp=sharing"",""เชียงใหม่!J318"")"),15)</f>
        <v>15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IFERROR(__xludf.DUMMYFUNCTION("IMPORTRANGE(""https://docs.google.com/spreadsheets/d/11923uPwbBZFjjGgGUA6NLw09EwE0CqkOc4q9oUmW1yo/edit?usp=sharing"",""เชียงใหม่!I319"")"),15)</f>
        <v>15</v>
      </c>
      <c r="J424" s="402">
        <f ca="1">IFERROR(__xludf.DUMMYFUNCTION("IMPORTRANGE(""https://docs.google.com/spreadsheets/d/11923uPwbBZFjjGgGUA6NLw09EwE0CqkOc4q9oUmW1yo/edit?usp=sharing"",""เชียงใหม่!J319"")"),15)</f>
        <v>15</v>
      </c>
      <c r="K424" s="171">
        <f t="shared" ca="1" si="113"/>
        <v>100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IFERROR(__xludf.DUMMYFUNCTION("IMPORTRANGE(""https://docs.google.com/spreadsheets/d/11923uPwbBZFjjGgGUA6NLw09EwE0CqkOc4q9oUmW1yo/edit?usp=sharing"",""เชียงใหม่!I320"")"),15)</f>
        <v>15</v>
      </c>
      <c r="J425" s="402">
        <f ca="1">IFERROR(__xludf.DUMMYFUNCTION("IMPORTRANGE(""https://docs.google.com/spreadsheets/d/11923uPwbBZFjjGgGUA6NLw09EwE0CqkOc4q9oUmW1yo/edit?usp=sharing"",""เชียงใหม่!J320"")"),15)</f>
        <v>15</v>
      </c>
      <c r="K425" s="171">
        <f t="shared" ca="1" si="113"/>
        <v>100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IFERROR(__xludf.DUMMYFUNCTION("IMPORTRANGE(""https://docs.google.com/spreadsheets/d/11923uPwbBZFjjGgGUA6NLw09EwE0CqkOc4q9oUmW1yo/edit?usp=sharing"",""เชียงใหม่!I321"")"),10)</f>
        <v>10</v>
      </c>
      <c r="J426" s="400">
        <f ca="1">IFERROR(__xludf.DUMMYFUNCTION("IMPORTRANGE(""https://docs.google.com/spreadsheets/d/11923uPwbBZFjjGgGUA6NLw09EwE0CqkOc4q9oUmW1yo/edit?usp=sharing"",""เชียงใหม่!J321"")"),10)</f>
        <v>10</v>
      </c>
      <c r="K426" s="211">
        <f t="shared" ca="1" si="113"/>
        <v>100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IFERROR(__xludf.DUMMYFUNCTION("IMPORTRANGE(""https://docs.google.com/spreadsheets/d/11923uPwbBZFjjGgGUA6NLw09EwE0CqkOc4q9oUmW1yo/edit?usp=sharing"",""เชียงใหม่!I322"")"),30)</f>
        <v>30</v>
      </c>
      <c r="J427" s="401">
        <f ca="1">IFERROR(__xludf.DUMMYFUNCTION("IMPORTRANGE(""https://docs.google.com/spreadsheets/d/11923uPwbBZFjjGgGUA6NLw09EwE0CqkOc4q9oUmW1yo/edit?usp=sharing"",""เชียงใหม่!J322"")"),30)</f>
        <v>30</v>
      </c>
      <c r="K427" s="211">
        <f t="shared" ca="1" si="113"/>
        <v>100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IFERROR(__xludf.DUMMYFUNCTION("IMPORTRANGE(""https://docs.google.com/spreadsheets/d/11923uPwbBZFjjGgGUA6NLw09EwE0CqkOc4q9oUmW1yo/edit?usp=sharing"",""เชียงใหม่!I323"")"),10)</f>
        <v>10</v>
      </c>
      <c r="J428" s="402">
        <f ca="1">IFERROR(__xludf.DUMMYFUNCTION("IMPORTRANGE(""https://docs.google.com/spreadsheets/d/11923uPwbBZFjjGgGUA6NLw09EwE0CqkOc4q9oUmW1yo/edit?usp=sharing"",""เชียงใหม่!J323"")"),10)</f>
        <v>10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IFERROR(__xludf.DUMMYFUNCTION("IMPORTRANGE(""https://docs.google.com/spreadsheets/d/11923uPwbBZFjjGgGUA6NLw09EwE0CqkOc4q9oUmW1yo/edit?usp=sharing"",""เชียงใหม่!I324"")"),10)</f>
        <v>10</v>
      </c>
      <c r="J429" s="402">
        <f ca="1">IFERROR(__xludf.DUMMYFUNCTION("IMPORTRANGE(""https://docs.google.com/spreadsheets/d/11923uPwbBZFjjGgGUA6NLw09EwE0CqkOc4q9oUmW1yo/edit?usp=sharing"",""เชียงใหม่!J324"")"),10)</f>
        <v>10</v>
      </c>
      <c r="K429" s="171">
        <f t="shared" ca="1" si="113"/>
        <v>100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IFERROR(__xludf.DUMMYFUNCTION("IMPORTRANGE(""https://docs.google.com/spreadsheets/d/11923uPwbBZFjjGgGUA6NLw09EwE0CqkOc4q9oUmW1yo/edit?usp=sharing"",""เชียงใหม่!I325"")"),25)</f>
        <v>25</v>
      </c>
      <c r="J430" s="400">
        <f ca="1">IFERROR(__xludf.DUMMYFUNCTION("IMPORTRANGE(""https://docs.google.com/spreadsheets/d/11923uPwbBZFjjGgGUA6NLw09EwE0CqkOc4q9oUmW1yo/edit?usp=sharing"",""เชียงใหม่!J325"")"),0)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IFERROR(__xludf.DUMMYFUNCTION("IMPORTRANGE(""https://docs.google.com/spreadsheets/d/11923uPwbBZFjjGgGUA6NLw09EwE0CqkOc4q9oUmW1yo/edit?usp=sharing"",""เชียงใหม่!I326"")"),10)</f>
        <v>10</v>
      </c>
      <c r="J431" s="402">
        <f ca="1">IFERROR(__xludf.DUMMYFUNCTION("IMPORTRANGE(""https://docs.google.com/spreadsheets/d/11923uPwbBZFjjGgGUA6NLw09EwE0CqkOc4q9oUmW1yo/edit?usp=sharing"",""เชียงใหม่!J326"")"),0)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IFERROR(__xludf.DUMMYFUNCTION("IMPORTRANGE(""https://docs.google.com/spreadsheets/d/11923uPwbBZFjjGgGUA6NLw09EwE0CqkOc4q9oUmW1yo/edit?usp=sharing"",""เชียงใหม่!I327"")"),15)</f>
        <v>15</v>
      </c>
      <c r="J432" s="402">
        <f ca="1">IFERROR(__xludf.DUMMYFUNCTION("IMPORTRANGE(""https://docs.google.com/spreadsheets/d/11923uPwbBZFjjGgGUA6NLw09EwE0CqkOc4q9oUmW1yo/edit?usp=sharing"",""เชียงใหม่!J327"")"),0)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IFERROR(__xludf.DUMMYFUNCTION("IMPORTRANGE(""https://docs.google.com/spreadsheets/d/11923uPwbBZFjjGgGUA6NLw09EwE0CqkOc4q9oUmW1yo/edit?usp=sharing"",""เชียงใหม่!J328"")"),0)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IFERROR(__xludf.DUMMYFUNCTION("IMPORTRANGE(""https://docs.google.com/spreadsheets/d/11923uPwbBZFjjGgGUA6NLw09EwE0CqkOc4q9oUmW1yo/edit?usp=sharing"",""เชียงใหม่!J329"")"),0)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IFERROR(__xludf.DUMMYFUNCTION("IMPORTRANGE(""https://docs.google.com/spreadsheets/d/11923uPwbBZFjjGgGUA6NLw09EwE0CqkOc4q9oUmW1yo/edit?usp=sharing"",""เชียงใหม่!I330"")"),20)</f>
        <v>20</v>
      </c>
      <c r="J435" s="418">
        <f ca="1">IFERROR(__xludf.DUMMYFUNCTION("IMPORTRANGE(""https://docs.google.com/spreadsheets/d/11923uPwbBZFjjGgGUA6NLw09EwE0CqkOc4q9oUmW1yo/edit?usp=sharing"",""เชียงใหม่!J330"")"),20)</f>
        <v>20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IFERROR(__xludf.DUMMYFUNCTION("IMPORTRANGE(""https://docs.google.com/spreadsheets/d/11923uPwbBZFjjGgGUA6NLw09EwE0CqkOc4q9oUmW1yo/edit?usp=sharing"",""เชียงใหม่!L330"")"),95000)</f>
        <v>95000</v>
      </c>
      <c r="M435" s="420"/>
      <c r="N435" s="420">
        <f ca="1">IFERROR(__xludf.DUMMYFUNCTION("IMPORTRANGE(""https://docs.google.com/spreadsheets/d/11923uPwbBZFjjGgGUA6NLw09EwE0CqkOc4q9oUmW1yo/edit?usp=sharing"",""เชียงใหม่!M330"")"),29704)</f>
        <v>29704</v>
      </c>
      <c r="O435" s="420">
        <f t="shared" ref="O435:O439" ca="1" si="114">+IF(L435&gt;0,N435*100/L435,0)</f>
        <v>31.26736842105263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IFERROR(__xludf.DUMMYFUNCTION("IMPORTRANGE(""https://docs.google.com/spreadsheets/d/11923uPwbBZFjjGgGUA6NLw09EwE0CqkOc4q9oUmW1yo/edit?usp=sharing"",""เชียงใหม่!L331"")"),0)</f>
        <v>0</v>
      </c>
      <c r="M436" s="172"/>
      <c r="N436" s="178">
        <f ca="1">IFERROR(__xludf.DUMMYFUNCTION("IMPORTRANGE(""https://docs.google.com/spreadsheets/d/11923uPwbBZFjjGgGUA6NLw09EwE0CqkOc4q9oUmW1yo/edit?usp=sharing"",""เชียงใหม่!M331"")"),0)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IFERROR(__xludf.DUMMYFUNCTION("IMPORTRANGE(""https://docs.google.com/spreadsheets/d/11923uPwbBZFjjGgGUA6NLw09EwE0CqkOc4q9oUmW1yo/edit?usp=sharing"",""เชียงใหม่!L332"")"),95000)</f>
        <v>95000</v>
      </c>
      <c r="M437" s="173"/>
      <c r="N437" s="178">
        <f ca="1">IFERROR(__xludf.DUMMYFUNCTION("IMPORTRANGE(""https://docs.google.com/spreadsheets/d/11923uPwbBZFjjGgGUA6NLw09EwE0CqkOc4q9oUmW1yo/edit?usp=sharing"",""เชียงใหม่!M332"")"),29704)</f>
        <v>29704</v>
      </c>
      <c r="O437" s="178">
        <f t="shared" ca="1" si="114"/>
        <v>31.26736842105263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IFERROR(__xludf.DUMMYFUNCTION("IMPORTRANGE(""https://docs.google.com/spreadsheets/d/11923uPwbBZFjjGgGUA6NLw09EwE0CqkOc4q9oUmW1yo/edit?usp=sharing"",""เชียงใหม่!L333"")"),0)</f>
        <v>0</v>
      </c>
      <c r="M438" s="178"/>
      <c r="N438" s="178">
        <f ca="1">IFERROR(__xludf.DUMMYFUNCTION("IMPORTRANGE(""https://docs.google.com/spreadsheets/d/11923uPwbBZFjjGgGUA6NLw09EwE0CqkOc4q9oUmW1yo/edit?usp=sharing"",""เชียงใหม่!M333"")"),0)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IFERROR(__xludf.DUMMYFUNCTION("IMPORTRANGE(""https://docs.google.com/spreadsheets/d/11923uPwbBZFjjGgGUA6NLw09EwE0CqkOc4q9oUmW1yo/edit?usp=sharing"",""เชียงใหม่!L334"")"),95000)</f>
        <v>95000</v>
      </c>
      <c r="M439" s="178"/>
      <c r="N439" s="178">
        <f ca="1">IFERROR(__xludf.DUMMYFUNCTION("IMPORTRANGE(""https://docs.google.com/spreadsheets/d/11923uPwbBZFjjGgGUA6NLw09EwE0CqkOc4q9oUmW1yo/edit?usp=sharing"",""เชียงใหม่!M334"")"),29704)</f>
        <v>29704</v>
      </c>
      <c r="O439" s="178">
        <f t="shared" ca="1" si="114"/>
        <v>31.26736842105263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IFERROR(__xludf.DUMMYFUNCTION("IMPORTRANGE(""https://docs.google.com/spreadsheets/d/11923uPwbBZFjjGgGUA6NLw09EwE0CqkOc4q9oUmW1yo/edit?usp=sharing"",""เชียงใหม่!M335"")"),19195)</f>
        <v>19195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IFERROR(__xludf.DUMMYFUNCTION("IMPORTRANGE(""https://docs.google.com/spreadsheets/d/11923uPwbBZFjjGgGUA6NLw09EwE0CqkOc4q9oUmW1yo/edit?usp=sharing"",""เชียงใหม่!M336"")"),0)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IFERROR(__xludf.DUMMYFUNCTION("IMPORTRANGE(""https://docs.google.com/spreadsheets/d/11923uPwbBZFjjGgGUA6NLw09EwE0CqkOc4q9oUmW1yo/edit?usp=sharing"",""เชียงใหม่!M337"")"),0)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IFERROR(__xludf.DUMMYFUNCTION("IMPORTRANGE(""https://docs.google.com/spreadsheets/d/11923uPwbBZFjjGgGUA6NLw09EwE0CqkOc4q9oUmW1yo/edit?usp=sharing"",""เชียงใหม่!M338"")"),10509)</f>
        <v>10509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IFERROR(__xludf.DUMMYFUNCTION("IMPORTRANGE(""https://docs.google.com/spreadsheets/d/11923uPwbBZFjjGgGUA6NLw09EwE0CqkOc4q9oUmW1yo/edit?usp=sharing"",""เชียงใหม่!J340"")"),0)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IFERROR(__xludf.DUMMYFUNCTION("IMPORTRANGE(""https://docs.google.com/spreadsheets/d/11923uPwbBZFjjGgGUA6NLw09EwE0CqkOc4q9oUmW1yo/edit?usp=sharing"",""เชียงใหม่!J341"")"),1)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IFERROR(__xludf.DUMMYFUNCTION("IMPORTRANGE(""https://docs.google.com/spreadsheets/d/11923uPwbBZFjjGgGUA6NLw09EwE0CqkOc4q9oUmW1yo/edit?usp=sharing"",""เชียงใหม่!J342"")"),1)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IFERROR(__xludf.DUMMYFUNCTION("IMPORTRANGE(""https://docs.google.com/spreadsheets/d/11923uPwbBZFjjGgGUA6NLw09EwE0CqkOc4q9oUmW1yo/edit?usp=sharing"",""เชียงใหม่!J343"")"),1)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IFERROR(__xludf.DUMMYFUNCTION("IMPORTRANGE(""https://docs.google.com/spreadsheets/d/11923uPwbBZFjjGgGUA6NLw09EwE0CqkOc4q9oUmW1yo/edit?usp=sharing"",""เชียงใหม่!I344"")"),20)</f>
        <v>20</v>
      </c>
      <c r="J449" s="210">
        <f ca="1">IFERROR(__xludf.DUMMYFUNCTION("IMPORTRANGE(""https://docs.google.com/spreadsheets/d/11923uPwbBZFjjGgGUA6NLw09EwE0CqkOc4q9oUmW1yo/edit?usp=sharing"",""เชียงใหม่!J344"")"),20)</f>
        <v>20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IFERROR(__xludf.DUMMYFUNCTION("IMPORTRANGE(""https://docs.google.com/spreadsheets/d/11923uPwbBZFjjGgGUA6NLw09EwE0CqkOc4q9oUmW1yo/edit?usp=sharing"",""เชียงใหม่!I345"")"),20)</f>
        <v>20</v>
      </c>
      <c r="J450" s="198">
        <f ca="1">IFERROR(__xludf.DUMMYFUNCTION("IMPORTRANGE(""https://docs.google.com/spreadsheets/d/11923uPwbBZFjjGgGUA6NLw09EwE0CqkOc4q9oUmW1yo/edit?usp=sharing"",""เชียงใหม่!J345"")"),20)</f>
        <v>20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IFERROR(__xludf.DUMMYFUNCTION("IMPORTRANGE(""https://docs.google.com/spreadsheets/d/11923uPwbBZFjjGgGUA6NLw09EwE0CqkOc4q9oUmW1yo/edit?usp=sharing"",""เชียงใหม่!I346"")"),0)</f>
        <v>0</v>
      </c>
      <c r="J451" s="197">
        <f ca="1">IFERROR(__xludf.DUMMYFUNCTION("IMPORTRANGE(""https://docs.google.com/spreadsheets/d/11923uPwbBZFjjGgGUA6NLw09EwE0CqkOc4q9oUmW1yo/edit?usp=sharing"",""เชียงใหม่!J346"")"),0)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IFERROR(__xludf.DUMMYFUNCTION("IMPORTRANGE(""https://docs.google.com/spreadsheets/d/11923uPwbBZFjjGgGUA6NLw09EwE0CqkOc4q9oUmW1yo/edit?usp=sharing"",""เชียงใหม่!I347"")"),0)</f>
        <v>0</v>
      </c>
      <c r="J452" s="197">
        <f ca="1">IFERROR(__xludf.DUMMYFUNCTION("IMPORTRANGE(""https://docs.google.com/spreadsheets/d/11923uPwbBZFjjGgGUA6NLw09EwE0CqkOc4q9oUmW1yo/edit?usp=sharing"",""เชียงใหม่!J347"")"),0)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IFERROR(__xludf.DUMMYFUNCTION("IMPORTRANGE(""https://docs.google.com/spreadsheets/d/11923uPwbBZFjjGgGUA6NLw09EwE0CqkOc4q9oUmW1yo/edit?usp=sharing"",""เชียงใหม่!J348"")"),0)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IFERROR(__xludf.DUMMYFUNCTION("IMPORTRANGE(""https://docs.google.com/spreadsheets/d/11923uPwbBZFjjGgGUA6NLw09EwE0CqkOc4q9oUmW1yo/edit?usp=sharing"",""เชียงใหม่!J349"")"),0)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IFERROR(__xludf.DUMMYFUNCTION("IMPORTRANGE(""https://docs.google.com/spreadsheets/d/11923uPwbBZFjjGgGUA6NLw09EwE0CqkOc4q9oUmW1yo/edit?usp=sharing"",""เชียงใหม่!I350"")"),18110)</f>
        <v>18110</v>
      </c>
      <c r="J455" s="379">
        <f ca="1">IFERROR(__xludf.DUMMYFUNCTION("IMPORTRANGE(""https://docs.google.com/spreadsheets/d/11923uPwbBZFjjGgGUA6NLw09EwE0CqkOc4q9oUmW1yo/edit?usp=sharing"",""เชียงใหม่!J350"")"),6642.03)</f>
        <v>6642.03</v>
      </c>
      <c r="K455" s="380">
        <f ca="1">IF(I455&gt;0,J455*100/I455,0)</f>
        <v>36.676035339591387</v>
      </c>
      <c r="L455" s="381">
        <f ca="1">IFERROR(__xludf.DUMMYFUNCTION("IMPORTRANGE(""https://docs.google.com/spreadsheets/d/11923uPwbBZFjjGgGUA6NLw09EwE0CqkOc4q9oUmW1yo/edit?usp=sharing"",""เชียงใหม่!L350"")"),536539)</f>
        <v>536539</v>
      </c>
      <c r="M455" s="381"/>
      <c r="N455" s="381">
        <f ca="1">IFERROR(__xludf.DUMMYFUNCTION("IMPORTRANGE(""https://docs.google.com/spreadsheets/d/11923uPwbBZFjjGgGUA6NLw09EwE0CqkOc4q9oUmW1yo/edit?usp=sharing"",""เชียงใหม่!M350"")"),145025.58)</f>
        <v>145025.57999999999</v>
      </c>
      <c r="O455" s="381">
        <f t="shared" ref="O455:O459" ca="1" si="116">+IF(L455&gt;0,N455*100/L455,0)</f>
        <v>27.029830077589882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IFERROR(__xludf.DUMMYFUNCTION("IMPORTRANGE(""https://docs.google.com/spreadsheets/d/11923uPwbBZFjjGgGUA6NLw09EwE0CqkOc4q9oUmW1yo/edit?usp=sharing"",""เชียงใหม่!L351"")"),0)</f>
        <v>0</v>
      </c>
      <c r="M456" s="172"/>
      <c r="N456" s="178">
        <f ca="1">IFERROR(__xludf.DUMMYFUNCTION("IMPORTRANGE(""https://docs.google.com/spreadsheets/d/11923uPwbBZFjjGgGUA6NLw09EwE0CqkOc4q9oUmW1yo/edit?usp=sharing"",""เชียงใหม่!M351"")"),0)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IFERROR(__xludf.DUMMYFUNCTION("IMPORTRANGE(""https://docs.google.com/spreadsheets/d/11923uPwbBZFjjGgGUA6NLw09EwE0CqkOc4q9oUmW1yo/edit?usp=sharing"",""เชียงใหม่!L352"")"),536539)</f>
        <v>536539</v>
      </c>
      <c r="M457" s="173"/>
      <c r="N457" s="178">
        <f ca="1">IFERROR(__xludf.DUMMYFUNCTION("IMPORTRANGE(""https://docs.google.com/spreadsheets/d/11923uPwbBZFjjGgGUA6NLw09EwE0CqkOc4q9oUmW1yo/edit?usp=sharing"",""เชียงใหม่!M352"")"),145025.58)</f>
        <v>145025.57999999999</v>
      </c>
      <c r="O457" s="178">
        <f t="shared" ca="1" si="116"/>
        <v>27.029830077589882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IFERROR(__xludf.DUMMYFUNCTION("IMPORTRANGE(""https://docs.google.com/spreadsheets/d/11923uPwbBZFjjGgGUA6NLw09EwE0CqkOc4q9oUmW1yo/edit?usp=sharing"",""เชียงใหม่!L353"")"),0)</f>
        <v>0</v>
      </c>
      <c r="M458" s="178"/>
      <c r="N458" s="178">
        <f ca="1">IFERROR(__xludf.DUMMYFUNCTION("IMPORTRANGE(""https://docs.google.com/spreadsheets/d/11923uPwbBZFjjGgGUA6NLw09EwE0CqkOc4q9oUmW1yo/edit?usp=sharing"",""เชียงใหม่!M353"")"),0)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IFERROR(__xludf.DUMMYFUNCTION("IMPORTRANGE(""https://docs.google.com/spreadsheets/d/11923uPwbBZFjjGgGUA6NLw09EwE0CqkOc4q9oUmW1yo/edit?usp=sharing"",""เชียงใหม่!L354"")"),536539)</f>
        <v>536539</v>
      </c>
      <c r="M459" s="178"/>
      <c r="N459" s="178">
        <f ca="1">IFERROR(__xludf.DUMMYFUNCTION("IMPORTRANGE(""https://docs.google.com/spreadsheets/d/11923uPwbBZFjjGgGUA6NLw09EwE0CqkOc4q9oUmW1yo/edit?usp=sharing"",""เชียงใหม่!M354"")"),145025.58)</f>
        <v>145025.57999999999</v>
      </c>
      <c r="O459" s="178">
        <f t="shared" ca="1" si="116"/>
        <v>27.029830077589882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IFERROR(__xludf.DUMMYFUNCTION("IMPORTRANGE(""https://docs.google.com/spreadsheets/d/11923uPwbBZFjjGgGUA6NLw09EwE0CqkOc4q9oUmW1yo/edit?usp=sharing"",""เชียงใหม่!M355"")"),0)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IFERROR(__xludf.DUMMYFUNCTION("IMPORTRANGE(""https://docs.google.com/spreadsheets/d/11923uPwbBZFjjGgGUA6NLw09EwE0CqkOc4q9oUmW1yo/edit?usp=sharing"",""เชียงใหม่!M356"")"),0)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IFERROR(__xludf.DUMMYFUNCTION("IMPORTRANGE(""https://docs.google.com/spreadsheets/d/11923uPwbBZFjjGgGUA6NLw09EwE0CqkOc4q9oUmW1yo/edit?usp=sharing"",""เชียงใหม่!M357"")"),42225.58)</f>
        <v>42225.58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IFERROR(__xludf.DUMMYFUNCTION("IMPORTRANGE(""https://docs.google.com/spreadsheets/d/11923uPwbBZFjjGgGUA6NLw09EwE0CqkOc4q9oUmW1yo/edit?usp=sharing"",""เชียงใหม่!M358"")"),102800)</f>
        <v>102800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IFERROR(__xludf.DUMMYFUNCTION("IMPORTRANGE(""https://docs.google.com/spreadsheets/d/11923uPwbBZFjjGgGUA6NLw09EwE0CqkOc4q9oUmW1yo/edit?usp=sharing"",""เชียงใหม่!I359"")"),18110)</f>
        <v>18110</v>
      </c>
      <c r="J464" s="276">
        <f ca="1">IFERROR(__xludf.DUMMYFUNCTION("IMPORTRANGE(""https://docs.google.com/spreadsheets/d/11923uPwbBZFjjGgGUA6NLw09EwE0CqkOc4q9oUmW1yo/edit?usp=sharing"",""เชียงใหม่!J359"")"),6642.03)</f>
        <v>6642.03</v>
      </c>
      <c r="K464" s="277">
        <f t="shared" ref="K464:K515" ca="1" si="117">IF(I464&gt;0,J464*100/I464,0)</f>
        <v>36.676035339591387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IFERROR(__xludf.DUMMYFUNCTION("IMPORTRANGE(""https://docs.google.com/spreadsheets/d/11923uPwbBZFjjGgGUA6NLw09EwE0CqkOc4q9oUmW1yo/edit?usp=sharing"",""เชียงใหม่!I360"")"),18110)</f>
        <v>18110</v>
      </c>
      <c r="J465" s="428">
        <f ca="1">IFERROR(__xludf.DUMMYFUNCTION("IMPORTRANGE(""https://docs.google.com/spreadsheets/d/11923uPwbBZFjjGgGUA6NLw09EwE0CqkOc4q9oUmW1yo/edit?usp=sharing"",""เชียงใหม่!J360"")"),19466.7399999999)</f>
        <v>19466.7399999999</v>
      </c>
      <c r="K465" s="211">
        <f t="shared" ca="1" si="117"/>
        <v>107.49166206515682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IFERROR(__xludf.DUMMYFUNCTION("IMPORTRANGE(""https://docs.google.com/spreadsheets/d/11923uPwbBZFjjGgGUA6NLw09EwE0CqkOc4q9oUmW1yo/edit?usp=sharing"",""เชียงใหม่!I361"")"),4394)</f>
        <v>4394</v>
      </c>
      <c r="J466" s="428">
        <f ca="1">IFERROR(__xludf.DUMMYFUNCTION("IMPORTRANGE(""https://docs.google.com/spreadsheets/d/11923uPwbBZFjjGgGUA6NLw09EwE0CqkOc4q9oUmW1yo/edit?usp=sharing"",""เชียงใหม่!J361"")"),4394)</f>
        <v>4394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IFERROR(__xludf.DUMMYFUNCTION("IMPORTRANGE(""https://docs.google.com/spreadsheets/d/11923uPwbBZFjjGgGUA6NLw09EwE0CqkOc4q9oUmW1yo/edit?usp=sharing"",""เชียงใหม่!I362"")"),0)</f>
        <v>0</v>
      </c>
      <c r="J467" s="198">
        <f ca="1">IFERROR(__xludf.DUMMYFUNCTION("IMPORTRANGE(""https://docs.google.com/spreadsheets/d/11923uPwbBZFjjGgGUA6NLw09EwE0CqkOc4q9oUmW1yo/edit?usp=sharing"",""เชียงใหม่!J362"")"),9245.41)</f>
        <v>9245.41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IFERROR(__xludf.DUMMYFUNCTION("IMPORTRANGE(""https://docs.google.com/spreadsheets/d/11923uPwbBZFjjGgGUA6NLw09EwE0CqkOc4q9oUmW1yo/edit?usp=sharing"",""เชียงใหม่!I363"")"),0)</f>
        <v>0</v>
      </c>
      <c r="J468" s="198">
        <f ca="1">IFERROR(__xludf.DUMMYFUNCTION("IMPORTRANGE(""https://docs.google.com/spreadsheets/d/11923uPwbBZFjjGgGUA6NLw09EwE0CqkOc4q9oUmW1yo/edit?usp=sharing"",""เชียงใหม่!J363"")"),2380)</f>
        <v>2380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IFERROR(__xludf.DUMMYFUNCTION("IMPORTRANGE(""https://docs.google.com/spreadsheets/d/11923uPwbBZFjjGgGUA6NLw09EwE0CqkOc4q9oUmW1yo/edit?usp=sharing"",""เชียงใหม่!I364"")"),0)</f>
        <v>0</v>
      </c>
      <c r="J469" s="19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IFERROR(__xludf.DUMMYFUNCTION("IMPORTRANGE(""https://docs.google.com/spreadsheets/d/11923uPwbBZFjjGgGUA6NLw09EwE0CqkOc4q9oUmW1yo/edit?usp=sharing"",""เชียงใหม่!I365"")"),0)</f>
        <v>0</v>
      </c>
      <c r="J470" s="198">
        <f ca="1">IFERROR(__xludf.DUMMYFUNCTION("IMPORTRANGE(""https://docs.google.com/spreadsheets/d/11923uPwbBZFjjGgGUA6NLw09EwE0CqkOc4q9oUmW1yo/edit?usp=sharing"",""เชียงใหม่!J365"")"),1953)</f>
        <v>1953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IFERROR(__xludf.DUMMYFUNCTION("IMPORTRANGE(""https://docs.google.com/spreadsheets/d/11923uPwbBZFjjGgGUA6NLw09EwE0CqkOc4q9oUmW1yo/edit?usp=sharing"",""เชียงใหม่!I366"")"),0)</f>
        <v>0</v>
      </c>
      <c r="J471" s="198">
        <f ca="1">IFERROR(__xludf.DUMMYFUNCTION("IMPORTRANGE(""https://docs.google.com/spreadsheets/d/11923uPwbBZFjjGgGUA6NLw09EwE0CqkOc4q9oUmW1yo/edit?usp=sharing"",""เชียงใหม่!J366"")"),201)</f>
        <v>201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IFERROR(__xludf.DUMMYFUNCTION("IMPORTRANGE(""https://docs.google.com/spreadsheets/d/11923uPwbBZFjjGgGUA6NLw09EwE0CqkOc4q9oUmW1yo/edit?usp=sharing"",""เชียงใหม่!I367"")"),0)</f>
        <v>0</v>
      </c>
      <c r="J472" s="198">
        <f ca="1">IFERROR(__xludf.DUMMYFUNCTION("IMPORTRANGE(""https://docs.google.com/spreadsheets/d/11923uPwbBZFjjGgGUA6NLw09EwE0CqkOc4q9oUmW1yo/edit?usp=sharing"",""เชียงใหม่!J367"")"),61)</f>
        <v>61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IFERROR(__xludf.DUMMYFUNCTION("IMPORTRANGE(""https://docs.google.com/spreadsheets/d/11923uPwbBZFjjGgGUA6NLw09EwE0CqkOc4q9oUmW1yo/edit?usp=sharing"",""เชียงใหม่!I368"")"),18110)</f>
        <v>18110</v>
      </c>
      <c r="J473" s="428">
        <f ca="1">IFERROR(__xludf.DUMMYFUNCTION("IMPORTRANGE(""https://docs.google.com/spreadsheets/d/11923uPwbBZFjjGgGUA6NLw09EwE0CqkOc4q9oUmW1yo/edit?usp=sharing"",""เชียงใหม่!J368"")"),16310.08)</f>
        <v>16310.08</v>
      </c>
      <c r="K473" s="211">
        <f t="shared" ca="1" si="117"/>
        <v>90.061181667586965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IFERROR(__xludf.DUMMYFUNCTION("IMPORTRANGE(""https://docs.google.com/spreadsheets/d/11923uPwbBZFjjGgGUA6NLw09EwE0CqkOc4q9oUmW1yo/edit?usp=sharing"",""เชียงใหม่!I369"")"),4394)</f>
        <v>4394</v>
      </c>
      <c r="J474" s="428">
        <f ca="1">IFERROR(__xludf.DUMMYFUNCTION("IMPORTRANGE(""https://docs.google.com/spreadsheets/d/11923uPwbBZFjjGgGUA6NLw09EwE0CqkOc4q9oUmW1yo/edit?usp=sharing"",""เชียงใหม่!J369"")"),3271)</f>
        <v>3271</v>
      </c>
      <c r="K474" s="171">
        <f t="shared" ca="1" si="117"/>
        <v>74.442421483841599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IFERROR(__xludf.DUMMYFUNCTION("IMPORTRANGE(""https://docs.google.com/spreadsheets/d/11923uPwbBZFjjGgGUA6NLw09EwE0CqkOc4q9oUmW1yo/edit?usp=sharing"",""เชียงใหม่!I370"")"),0)</f>
        <v>0</v>
      </c>
      <c r="J475" s="198">
        <f ca="1">IFERROR(__xludf.DUMMYFUNCTION("IMPORTRANGE(""https://docs.google.com/spreadsheets/d/11923uPwbBZFjjGgGUA6NLw09EwE0CqkOc4q9oUmW1yo/edit?usp=sharing"",""เชียงใหม่!J370"")"),6642.03)</f>
        <v>6642.03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IFERROR(__xludf.DUMMYFUNCTION("IMPORTRANGE(""https://docs.google.com/spreadsheets/d/11923uPwbBZFjjGgGUA6NLw09EwE0CqkOc4q9oUmW1yo/edit?usp=sharing"",""เชียงใหม่!I371"")"),0)</f>
        <v>0</v>
      </c>
      <c r="J476" s="198">
        <f ca="1">IFERROR(__xludf.DUMMYFUNCTION("IMPORTRANGE(""https://docs.google.com/spreadsheets/d/11923uPwbBZFjjGgGUA6NLw09EwE0CqkOc4q9oUmW1yo/edit?usp=sharing"",""เชียงใหม่!J371"")"),1423)</f>
        <v>1423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IFERROR(__xludf.DUMMYFUNCTION("IMPORTRANGE(""https://docs.google.com/spreadsheets/d/11923uPwbBZFjjGgGUA6NLw09EwE0CqkOc4q9oUmW1yo/edit?usp=sharing"",""เชียงใหม่!I372"")"),0)</f>
        <v>0</v>
      </c>
      <c r="J477" s="198">
        <f ca="1">IFERROR(__xludf.DUMMYFUNCTION("IMPORTRANGE(""https://docs.google.com/spreadsheets/d/11923uPwbBZFjjGgGUA6NLw09EwE0CqkOc4q9oUmW1yo/edit?usp=sharing"",""เชียงใหม่!J372"")"),9501.88)</f>
        <v>9501.8799999999992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IFERROR(__xludf.DUMMYFUNCTION("IMPORTRANGE(""https://docs.google.com/spreadsheets/d/11923uPwbBZFjjGgGUA6NLw09EwE0CqkOc4q9oUmW1yo/edit?usp=sharing"",""เชียงใหม่!I373"")"),0)</f>
        <v>0</v>
      </c>
      <c r="J478" s="198">
        <f ca="1">IFERROR(__xludf.DUMMYFUNCTION("IMPORTRANGE(""https://docs.google.com/spreadsheets/d/11923uPwbBZFjjGgGUA6NLw09EwE0CqkOc4q9oUmW1yo/edit?usp=sharing"",""เชียงใหม่!J373"")"),1801)</f>
        <v>1801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IFERROR(__xludf.DUMMYFUNCTION("IMPORTRANGE(""https://docs.google.com/spreadsheets/d/11923uPwbBZFjjGgGUA6NLw09EwE0CqkOc4q9oUmW1yo/edit?usp=sharing"",""เชียงใหม่!I374"")"),0)</f>
        <v>0</v>
      </c>
      <c r="J479" s="198">
        <f ca="1">IFERROR(__xludf.DUMMYFUNCTION("IMPORTRANGE(""https://docs.google.com/spreadsheets/d/11923uPwbBZFjjGgGUA6NLw09EwE0CqkOc4q9oUmW1yo/edit?usp=sharing"",""เชียงใหม่!J374"")"),166.17)</f>
        <v>166.17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IFERROR(__xludf.DUMMYFUNCTION("IMPORTRANGE(""https://docs.google.com/spreadsheets/d/11923uPwbBZFjjGgGUA6NLw09EwE0CqkOc4q9oUmW1yo/edit?usp=sharing"",""เชียงใหม่!I375"")"),0)</f>
        <v>0</v>
      </c>
      <c r="J480" s="198">
        <f ca="1">IFERROR(__xludf.DUMMYFUNCTION("IMPORTRANGE(""https://docs.google.com/spreadsheets/d/11923uPwbBZFjjGgGUA6NLw09EwE0CqkOc4q9oUmW1yo/edit?usp=sharing"",""เชียงใหม่!J375"")"),47)</f>
        <v>47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IFERROR(__xludf.DUMMYFUNCTION("IMPORTRANGE(""https://docs.google.com/spreadsheets/d/11923uPwbBZFjjGgGUA6NLw09EwE0CqkOc4q9oUmW1yo/edit?usp=sharing"",""เชียงใหม่!I376"")"),18110)</f>
        <v>18110</v>
      </c>
      <c r="J481" s="428">
        <f ca="1">IFERROR(__xludf.DUMMYFUNCTION("IMPORTRANGE(""https://docs.google.com/spreadsheets/d/11923uPwbBZFjjGgGUA6NLw09EwE0CqkOc4q9oUmW1yo/edit?usp=sharing"",""เชียงใหม่!J376"")"),6642.03)</f>
        <v>6642.03</v>
      </c>
      <c r="K481" s="211">
        <f t="shared" ca="1" si="117"/>
        <v>36.676035339591387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IFERROR(__xludf.DUMMYFUNCTION("IMPORTRANGE(""https://docs.google.com/spreadsheets/d/11923uPwbBZFjjGgGUA6NLw09EwE0CqkOc4q9oUmW1yo/edit?usp=sharing"",""เชียงใหม่!I377"")"),4394)</f>
        <v>4394</v>
      </c>
      <c r="J482" s="428">
        <f ca="1">IFERROR(__xludf.DUMMYFUNCTION("IMPORTRANGE(""https://docs.google.com/spreadsheets/d/11923uPwbBZFjjGgGUA6NLw09EwE0CqkOc4q9oUmW1yo/edit?usp=sharing"",""เชียงใหม่!J377"")"),1423)</f>
        <v>1423</v>
      </c>
      <c r="K482" s="171">
        <f t="shared" ca="1" si="117"/>
        <v>32.385070550751024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IFERROR(__xludf.DUMMYFUNCTION("IMPORTRANGE(""https://docs.google.com/spreadsheets/d/11923uPwbBZFjjGgGUA6NLw09EwE0CqkOc4q9oUmW1yo/edit?usp=sharing"",""เชียงใหม่!I378"")"),0)</f>
        <v>0</v>
      </c>
      <c r="J483" s="198">
        <f ca="1">IFERROR(__xludf.DUMMYFUNCTION("IMPORTRANGE(""https://docs.google.com/spreadsheets/d/11923uPwbBZFjjGgGUA6NLw09EwE0CqkOc4q9oUmW1yo/edit?usp=sharing"",""เชียงใหม่!J378"")"),6642.03)</f>
        <v>6642.03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IFERROR(__xludf.DUMMYFUNCTION("IMPORTRANGE(""https://docs.google.com/spreadsheets/d/11923uPwbBZFjjGgGUA6NLw09EwE0CqkOc4q9oUmW1yo/edit?usp=sharing"",""เชียงใหม่!I379"")"),0)</f>
        <v>0</v>
      </c>
      <c r="J484" s="198">
        <f ca="1">IFERROR(__xludf.DUMMYFUNCTION("IMPORTRANGE(""https://docs.google.com/spreadsheets/d/11923uPwbBZFjjGgGUA6NLw09EwE0CqkOc4q9oUmW1yo/edit?usp=sharing"",""เชียงใหม่!J379"")"),1423)</f>
        <v>1423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IFERROR(__xludf.DUMMYFUNCTION("IMPORTRANGE(""https://docs.google.com/spreadsheets/d/11923uPwbBZFjjGgGUA6NLw09EwE0CqkOc4q9oUmW1yo/edit?usp=sharing"",""เชียงใหม่!I380"")"),0)</f>
        <v>0</v>
      </c>
      <c r="J485" s="198">
        <f ca="1">IFERROR(__xludf.DUMMYFUNCTION("IMPORTRANGE(""https://docs.google.com/spreadsheets/d/11923uPwbBZFjjGgGUA6NLw09EwE0CqkOc4q9oUmW1yo/edit?usp=sharing"",""เชียงใหม่!J380"")"),0)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IFERROR(__xludf.DUMMYFUNCTION("IMPORTRANGE(""https://docs.google.com/spreadsheets/d/11923uPwbBZFjjGgGUA6NLw09EwE0CqkOc4q9oUmW1yo/edit?usp=sharing"",""เชียงใหม่!I381"")"),0)</f>
        <v>0</v>
      </c>
      <c r="J486" s="198">
        <f ca="1">IFERROR(__xludf.DUMMYFUNCTION("IMPORTRANGE(""https://docs.google.com/spreadsheets/d/11923uPwbBZFjjGgGUA6NLw09EwE0CqkOc4q9oUmW1yo/edit?usp=sharing"",""เชียงใหม่!J381"")"),0)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IFERROR(__xludf.DUMMYFUNCTION("IMPORTRANGE(""https://docs.google.com/spreadsheets/d/11923uPwbBZFjjGgGUA6NLw09EwE0CqkOc4q9oUmW1yo/edit?usp=sharing"",""เชียงใหม่!I382"")"),0)</f>
        <v>0</v>
      </c>
      <c r="J487" s="428">
        <f ca="1">IFERROR(__xludf.DUMMYFUNCTION("IMPORTRANGE(""https://docs.google.com/spreadsheets/d/11923uPwbBZFjjGgGUA6NLw09EwE0CqkOc4q9oUmW1yo/edit?usp=sharing"",""เชียงใหม่!J382"")"),0)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IFERROR(__xludf.DUMMYFUNCTION("IMPORTRANGE(""https://docs.google.com/spreadsheets/d/11923uPwbBZFjjGgGUA6NLw09EwE0CqkOc4q9oUmW1yo/edit?usp=sharing"",""เชียงใหม่!I383"")"),0)</f>
        <v>0</v>
      </c>
      <c r="J488" s="428">
        <f ca="1">IFERROR(__xludf.DUMMYFUNCTION("IMPORTRANGE(""https://docs.google.com/spreadsheets/d/11923uPwbBZFjjGgGUA6NLw09EwE0CqkOc4q9oUmW1yo/edit?usp=sharing"",""เชียงใหม่!J383"")"),0)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IFERROR(__xludf.DUMMYFUNCTION("IMPORTRANGE(""https://docs.google.com/spreadsheets/d/11923uPwbBZFjjGgGUA6NLw09EwE0CqkOc4q9oUmW1yo/edit?usp=sharing"",""เชียงใหม่!I384"")"),0)</f>
        <v>0</v>
      </c>
      <c r="J489" s="198">
        <f ca="1">IFERROR(__xludf.DUMMYFUNCTION("IMPORTRANGE(""https://docs.google.com/spreadsheets/d/11923uPwbBZFjjGgGUA6NLw09EwE0CqkOc4q9oUmW1yo/edit?usp=sharing"",""เชียงใหม่!J384"")"),0)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IFERROR(__xludf.DUMMYFUNCTION("IMPORTRANGE(""https://docs.google.com/spreadsheets/d/11923uPwbBZFjjGgGUA6NLw09EwE0CqkOc4q9oUmW1yo/edit?usp=sharing"",""เชียงใหม่!I385"")"),0)</f>
        <v>0</v>
      </c>
      <c r="J490" s="198">
        <f ca="1">IFERROR(__xludf.DUMMYFUNCTION("IMPORTRANGE(""https://docs.google.com/spreadsheets/d/11923uPwbBZFjjGgGUA6NLw09EwE0CqkOc4q9oUmW1yo/edit?usp=sharing"",""เชียงใหม่!J385"")"),0)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IFERROR(__xludf.DUMMYFUNCTION("IMPORTRANGE(""https://docs.google.com/spreadsheets/d/11923uPwbBZFjjGgGUA6NLw09EwE0CqkOc4q9oUmW1yo/edit?usp=sharing"",""เชียงใหม่!I386"")"),0)</f>
        <v>0</v>
      </c>
      <c r="J491" s="198">
        <f ca="1">IFERROR(__xludf.DUMMYFUNCTION("IMPORTRANGE(""https://docs.google.com/spreadsheets/d/11923uPwbBZFjjGgGUA6NLw09EwE0CqkOc4q9oUmW1yo/edit?usp=sharing"",""เชียงใหม่!J386"")"),0)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IFERROR(__xludf.DUMMYFUNCTION("IMPORTRANGE(""https://docs.google.com/spreadsheets/d/11923uPwbBZFjjGgGUA6NLw09EwE0CqkOc4q9oUmW1yo/edit?usp=sharing"",""เชียงใหม่!I387"")"),0)</f>
        <v>0</v>
      </c>
      <c r="J492" s="198">
        <f ca="1">IFERROR(__xludf.DUMMYFUNCTION("IMPORTRANGE(""https://docs.google.com/spreadsheets/d/11923uPwbBZFjjGgGUA6NLw09EwE0CqkOc4q9oUmW1yo/edit?usp=sharing"",""เชียงใหม่!J387"")"),0)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IFERROR(__xludf.DUMMYFUNCTION("IMPORTRANGE(""https://docs.google.com/spreadsheets/d/11923uPwbBZFjjGgGUA6NLw09EwE0CqkOc4q9oUmW1yo/edit?usp=sharing"",""เชียงใหม่!I388"")"),0)</f>
        <v>0</v>
      </c>
      <c r="J493" s="198">
        <f ca="1">IFERROR(__xludf.DUMMYFUNCTION("IMPORTRANGE(""https://docs.google.com/spreadsheets/d/11923uPwbBZFjjGgGUA6NLw09EwE0CqkOc4q9oUmW1yo/edit?usp=sharing"",""เชียงใหม่!J388"")"),0)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IFERROR(__xludf.DUMMYFUNCTION("IMPORTRANGE(""https://docs.google.com/spreadsheets/d/11923uPwbBZFjjGgGUA6NLw09EwE0CqkOc4q9oUmW1yo/edit?usp=sharing"",""เชียงใหม่!I389"")"),0)</f>
        <v>0</v>
      </c>
      <c r="J494" s="444">
        <f ca="1">IFERROR(__xludf.DUMMYFUNCTION("IMPORTRANGE(""https://docs.google.com/spreadsheets/d/11923uPwbBZFjjGgGUA6NLw09EwE0CqkOc4q9oUmW1yo/edit?usp=sharing"",""เชียงใหม่!J389"")"),0)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IFERROR(__xludf.DUMMYFUNCTION("IMPORTRANGE(""https://docs.google.com/spreadsheets/d/11923uPwbBZFjjGgGUA6NLw09EwE0CqkOc4q9oUmW1yo/edit?usp=sharing"",""เชียงใหม่!I390"")"),0)</f>
        <v>0</v>
      </c>
      <c r="J495" s="444">
        <f ca="1">IFERROR(__xludf.DUMMYFUNCTION("IMPORTRANGE(""https://docs.google.com/spreadsheets/d/11923uPwbBZFjjGgGUA6NLw09EwE0CqkOc4q9oUmW1yo/edit?usp=sharing"",""เชียงใหม่!J390"")"),0)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IFERROR(__xludf.DUMMYFUNCTION("IMPORTRANGE(""https://docs.google.com/spreadsheets/d/11923uPwbBZFjjGgGUA6NLw09EwE0CqkOc4q9oUmW1yo/edit?usp=sharing"",""เชียงใหม่!I391"")"),0)</f>
        <v>0</v>
      </c>
      <c r="J496" s="444">
        <f ca="1">IFERROR(__xludf.DUMMYFUNCTION("IMPORTRANGE(""https://docs.google.com/spreadsheets/d/11923uPwbBZFjjGgGUA6NLw09EwE0CqkOc4q9oUmW1yo/edit?usp=sharing"",""เชียงใหม่!J391"")"),0)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IFERROR(__xludf.DUMMYFUNCTION("IMPORTRANGE(""https://docs.google.com/spreadsheets/d/11923uPwbBZFjjGgGUA6NLw09EwE0CqkOc4q9oUmW1yo/edit?usp=sharing"",""เชียงใหม่!I392"")"),5581)</f>
        <v>5581</v>
      </c>
      <c r="J497" s="451">
        <f ca="1">IFERROR(__xludf.DUMMYFUNCTION("IMPORTRANGE(""https://docs.google.com/spreadsheets/d/11923uPwbBZFjjGgGUA6NLw09EwE0CqkOc4q9oUmW1yo/edit?usp=sharing"",""เชียงใหม่!J392"")"),1642.1)</f>
        <v>1642.1</v>
      </c>
      <c r="K497" s="452">
        <f t="shared" ca="1" si="117"/>
        <v>29.423042465507972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IFERROR(__xludf.DUMMYFUNCTION("IMPORTRANGE(""https://docs.google.com/spreadsheets/d/11923uPwbBZFjjGgGUA6NLw09EwE0CqkOc4q9oUmW1yo/edit?usp=sharing"",""เชียงใหม่!I393"")"),5581)</f>
        <v>5581</v>
      </c>
      <c r="J498" s="428">
        <f ca="1">IFERROR(__xludf.DUMMYFUNCTION("IMPORTRANGE(""https://docs.google.com/spreadsheets/d/11923uPwbBZFjjGgGUA6NLw09EwE0CqkOc4q9oUmW1yo/edit?usp=sharing"",""เชียงใหม่!J393"")"),1642.1)</f>
        <v>1642.1</v>
      </c>
      <c r="K498" s="171">
        <f t="shared" ca="1" si="117"/>
        <v>29.423042465507972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IFERROR(__xludf.DUMMYFUNCTION("IMPORTRANGE(""https://docs.google.com/spreadsheets/d/11923uPwbBZFjjGgGUA6NLw09EwE0CqkOc4q9oUmW1yo/edit?usp=sharing"",""เชียงใหม่!I394"")"),697)</f>
        <v>697</v>
      </c>
      <c r="J499" s="428">
        <f ca="1">IFERROR(__xludf.DUMMYFUNCTION("IMPORTRANGE(""https://docs.google.com/spreadsheets/d/11923uPwbBZFjjGgGUA6NLw09EwE0CqkOc4q9oUmW1yo/edit?usp=sharing"",""เชียงใหม่!J394"")"),196)</f>
        <v>196</v>
      </c>
      <c r="K499" s="211">
        <f t="shared" ca="1" si="117"/>
        <v>28.12051649928264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IFERROR(__xludf.DUMMYFUNCTION("IMPORTRANGE(""https://docs.google.com/spreadsheets/d/11923uPwbBZFjjGgGUA6NLw09EwE0CqkOc4q9oUmW1yo/edit?usp=sharing"",""เชียงใหม่!I395"")"),0)</f>
        <v>0</v>
      </c>
      <c r="J500" s="170">
        <f ca="1">IFERROR(__xludf.DUMMYFUNCTION("IMPORTRANGE(""https://docs.google.com/spreadsheets/d/11923uPwbBZFjjGgGUA6NLw09EwE0CqkOc4q9oUmW1yo/edit?usp=sharing"",""เชียงใหม่!J395"")"),1381)</f>
        <v>1381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IFERROR(__xludf.DUMMYFUNCTION("IMPORTRANGE(""https://docs.google.com/spreadsheets/d/11923uPwbBZFjjGgGUA6NLw09EwE0CqkOc4q9oUmW1yo/edit?usp=sharing"",""เชียงใหม่!I396"")"),0)</f>
        <v>0</v>
      </c>
      <c r="J501" s="170">
        <f ca="1">IFERROR(__xludf.DUMMYFUNCTION("IMPORTRANGE(""https://docs.google.com/spreadsheets/d/11923uPwbBZFjjGgGUA6NLw09EwE0CqkOc4q9oUmW1yo/edit?usp=sharing"",""เชียงใหม่!J396"")"),168)</f>
        <v>168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IFERROR(__xludf.DUMMYFUNCTION("IMPORTRANGE(""https://docs.google.com/spreadsheets/d/11923uPwbBZFjjGgGUA6NLw09EwE0CqkOc4q9oUmW1yo/edit?usp=sharing"",""เชียงใหม่!I397"")"),0)</f>
        <v>0</v>
      </c>
      <c r="J502" s="198">
        <f ca="1">IFERROR(__xludf.DUMMYFUNCTION("IMPORTRANGE(""https://docs.google.com/spreadsheets/d/11923uPwbBZFjjGgGUA6NLw09EwE0CqkOc4q9oUmW1yo/edit?usp=sharing"",""เชียงใหม่!J397"")"),482)</f>
        <v>482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IFERROR(__xludf.DUMMYFUNCTION("IMPORTRANGE(""https://docs.google.com/spreadsheets/d/11923uPwbBZFjjGgGUA6NLw09EwE0CqkOc4q9oUmW1yo/edit?usp=sharing"",""เชียงใหม่!I398"")"),0)</f>
        <v>0</v>
      </c>
      <c r="J503" s="207">
        <f ca="1">IFERROR(__xludf.DUMMYFUNCTION("IMPORTRANGE(""https://docs.google.com/spreadsheets/d/11923uPwbBZFjjGgGUA6NLw09EwE0CqkOc4q9oUmW1yo/edit?usp=sharing"",""เชียงใหม่!J398"")"),40)</f>
        <v>40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IFERROR(__xludf.DUMMYFUNCTION("IMPORTRANGE(""https://docs.google.com/spreadsheets/d/11923uPwbBZFjjGgGUA6NLw09EwE0CqkOc4q9oUmW1yo/edit?usp=sharing"",""เชียงใหม่!I399"")"),0)</f>
        <v>0</v>
      </c>
      <c r="J504" s="198">
        <f ca="1">IFERROR(__xludf.DUMMYFUNCTION("IMPORTRANGE(""https://docs.google.com/spreadsheets/d/11923uPwbBZFjjGgGUA6NLw09EwE0CqkOc4q9oUmW1yo/edit?usp=sharing"",""เชียงใหม่!J399"")"),899)</f>
        <v>899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IFERROR(__xludf.DUMMYFUNCTION("IMPORTRANGE(""https://docs.google.com/spreadsheets/d/11923uPwbBZFjjGgGUA6NLw09EwE0CqkOc4q9oUmW1yo/edit?usp=sharing"",""เชียงใหม่!I400"")"),0)</f>
        <v>0</v>
      </c>
      <c r="J505" s="207">
        <f ca="1">IFERROR(__xludf.DUMMYFUNCTION("IMPORTRANGE(""https://docs.google.com/spreadsheets/d/11923uPwbBZFjjGgGUA6NLw09EwE0CqkOc4q9oUmW1yo/edit?usp=sharing"",""เชียงใหม่!J400"")"),128)</f>
        <v>128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IFERROR(__xludf.DUMMYFUNCTION("IMPORTRANGE(""https://docs.google.com/spreadsheets/d/11923uPwbBZFjjGgGUA6NLw09EwE0CqkOc4q9oUmW1yo/edit?usp=sharing"",""เชียงใหม่!I401"")"),0)</f>
        <v>0</v>
      </c>
      <c r="J506" s="198">
        <f ca="1">IFERROR(__xludf.DUMMYFUNCTION("IMPORTRANGE(""https://docs.google.com/spreadsheets/d/11923uPwbBZFjjGgGUA6NLw09EwE0CqkOc4q9oUmW1yo/edit?usp=sharing"",""เชียงใหม่!J401"")"),0)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IFERROR(__xludf.DUMMYFUNCTION("IMPORTRANGE(""https://docs.google.com/spreadsheets/d/11923uPwbBZFjjGgGUA6NLw09EwE0CqkOc4q9oUmW1yo/edit?usp=sharing"",""เชียงใหม่!I402"")"),0)</f>
        <v>0</v>
      </c>
      <c r="J507" s="207">
        <f ca="1">IFERROR(__xludf.DUMMYFUNCTION("IMPORTRANGE(""https://docs.google.com/spreadsheets/d/11923uPwbBZFjjGgGUA6NLw09EwE0CqkOc4q9oUmW1yo/edit?usp=sharing"",""เชียงใหม่!J402"")"),0)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IFERROR(__xludf.DUMMYFUNCTION("IMPORTRANGE(""https://docs.google.com/spreadsheets/d/11923uPwbBZFjjGgGUA6NLw09EwE0CqkOc4q9oUmW1yo/edit?usp=sharing"",""เชียงใหม่!I403"")"),0)</f>
        <v>0</v>
      </c>
      <c r="J508" s="170">
        <f ca="1">IFERROR(__xludf.DUMMYFUNCTION("IMPORTRANGE(""https://docs.google.com/spreadsheets/d/11923uPwbBZFjjGgGUA6NLw09EwE0CqkOc4q9oUmW1yo/edit?usp=sharing"",""เชียงใหม่!J403"")"),13.1)</f>
        <v>13.1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IFERROR(__xludf.DUMMYFUNCTION("IMPORTRANGE(""https://docs.google.com/spreadsheets/d/11923uPwbBZFjjGgGUA6NLw09EwE0CqkOc4q9oUmW1yo/edit?usp=sharing"",""เชียงใหม่!I404"")"),0)</f>
        <v>0</v>
      </c>
      <c r="J509" s="170">
        <f ca="1">IFERROR(__xludf.DUMMYFUNCTION("IMPORTRANGE(""https://docs.google.com/spreadsheets/d/11923uPwbBZFjjGgGUA6NLw09EwE0CqkOc4q9oUmW1yo/edit?usp=sharing"",""เชียงใหม่!J404"")"),6)</f>
        <v>6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IFERROR(__xludf.DUMMYFUNCTION("IMPORTRANGE(""https://docs.google.com/spreadsheets/d/11923uPwbBZFjjGgGUA6NLw09EwE0CqkOc4q9oUmW1yo/edit?usp=sharing"",""เชียงใหม่!I405"")"),0)</f>
        <v>0</v>
      </c>
      <c r="J510" s="207">
        <f ca="1">IFERROR(__xludf.DUMMYFUNCTION("IMPORTRANGE(""https://docs.google.com/spreadsheets/d/11923uPwbBZFjjGgGUA6NLw09EwE0CqkOc4q9oUmW1yo/edit?usp=sharing"",""เชียงใหม่!J405"")"),0.1)</f>
        <v>0.1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IFERROR(__xludf.DUMMYFUNCTION("IMPORTRANGE(""https://docs.google.com/spreadsheets/d/11923uPwbBZFjjGgGUA6NLw09EwE0CqkOc4q9oUmW1yo/edit?usp=sharing"",""เชียงใหม่!I406"")"),0)</f>
        <v>0</v>
      </c>
      <c r="J511" s="207">
        <f ca="1">IFERROR(__xludf.DUMMYFUNCTION("IMPORTRANGE(""https://docs.google.com/spreadsheets/d/11923uPwbBZFjjGgGUA6NLw09EwE0CqkOc4q9oUmW1yo/edit?usp=sharing"",""เชียงใหม่!J406"")"),1)</f>
        <v>1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IFERROR(__xludf.DUMMYFUNCTION("IMPORTRANGE(""https://docs.google.com/spreadsheets/d/11923uPwbBZFjjGgGUA6NLw09EwE0CqkOc4q9oUmW1yo/edit?usp=sharing"",""เชียงใหม่!I407"")"),0)</f>
        <v>0</v>
      </c>
      <c r="J512" s="207">
        <f ca="1">IFERROR(__xludf.DUMMYFUNCTION("IMPORTRANGE(""https://docs.google.com/spreadsheets/d/11923uPwbBZFjjGgGUA6NLw09EwE0CqkOc4q9oUmW1yo/edit?usp=sharing"",""เชียงใหม่!J407"")"),13)</f>
        <v>13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IFERROR(__xludf.DUMMYFUNCTION("IMPORTRANGE(""https://docs.google.com/spreadsheets/d/11923uPwbBZFjjGgGUA6NLw09EwE0CqkOc4q9oUmW1yo/edit?usp=sharing"",""เชียงใหม่!I408"")"),0)</f>
        <v>0</v>
      </c>
      <c r="J513" s="207">
        <f ca="1">IFERROR(__xludf.DUMMYFUNCTION("IMPORTRANGE(""https://docs.google.com/spreadsheets/d/11923uPwbBZFjjGgGUA6NLw09EwE0CqkOc4q9oUmW1yo/edit?usp=sharing"",""เชียงใหม่!J408"")"),5)</f>
        <v>5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IFERROR(__xludf.DUMMYFUNCTION("IMPORTRANGE(""https://docs.google.com/spreadsheets/d/11923uPwbBZFjjGgGUA6NLw09EwE0CqkOc4q9oUmW1yo/edit?usp=sharing"",""เชียงใหม่!I409"")"),0)</f>
        <v>0</v>
      </c>
      <c r="J514" s="207">
        <f ca="1">IFERROR(__xludf.DUMMYFUNCTION("IMPORTRANGE(""https://docs.google.com/spreadsheets/d/11923uPwbBZFjjGgGUA6NLw09EwE0CqkOc4q9oUmW1yo/edit?usp=sharing"",""เชียงใหม่!J409"")"),248)</f>
        <v>248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IFERROR(__xludf.DUMMYFUNCTION("IMPORTRANGE(""https://docs.google.com/spreadsheets/d/11923uPwbBZFjjGgGUA6NLw09EwE0CqkOc4q9oUmW1yo/edit?usp=sharing"",""เชียงใหม่!I410"")"),0)</f>
        <v>0</v>
      </c>
      <c r="J515" s="207">
        <f ca="1">IFERROR(__xludf.DUMMYFUNCTION("IMPORTRANGE(""https://docs.google.com/spreadsheets/d/11923uPwbBZFjjGgGUA6NLw09EwE0CqkOc4q9oUmW1yo/edit?usp=sharing"",""เชียงใหม่!J410"")"),22)</f>
        <v>22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IFERROR(__xludf.DUMMYFUNCTION("IMPORTRANGE(""https://docs.google.com/spreadsheets/d/11923uPwbBZFjjGgGUA6NLw09EwE0CqkOc4q9oUmW1yo/edit?usp=sharing"",""เชียงใหม่!I411"")"),0)</f>
        <v>0</v>
      </c>
      <c r="J516" s="276">
        <f ca="1">IFERROR(__xludf.DUMMYFUNCTION("IMPORTRANGE(""https://docs.google.com/spreadsheets/d/11923uPwbBZFjjGgGUA6NLw09EwE0CqkOc4q9oUmW1yo/edit?usp=sharing"",""เชียงใหม่!J411"")"),0)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IFERROR(__xludf.DUMMYFUNCTION("IMPORTRANGE(""https://docs.google.com/spreadsheets/d/11923uPwbBZFjjGgGUA6NLw09EwE0CqkOc4q9oUmW1yo/edit?usp=sharing"",""เชียงใหม่!I412"")"),0)</f>
        <v>0</v>
      </c>
      <c r="J517" s="292">
        <f ca="1">IFERROR(__xludf.DUMMYFUNCTION("IMPORTRANGE(""https://docs.google.com/spreadsheets/d/11923uPwbBZFjjGgGUA6NLw09EwE0CqkOc4q9oUmW1yo/edit?usp=sharing"",""เชียงใหม่!J412"")"),0)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IFERROR(__xludf.DUMMYFUNCTION("IMPORTRANGE(""https://docs.google.com/spreadsheets/d/11923uPwbBZFjjGgGUA6NLw09EwE0CqkOc4q9oUmW1yo/edit?usp=sharing"",""เชียงใหม่!I413"")"),0)</f>
        <v>0</v>
      </c>
      <c r="J518" s="292">
        <f ca="1">IFERROR(__xludf.DUMMYFUNCTION("IMPORTRANGE(""https://docs.google.com/spreadsheets/d/11923uPwbBZFjjGgGUA6NLw09EwE0CqkOc4q9oUmW1yo/edit?usp=sharing"",""เชียงใหม่!J413"")"),0)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IFERROR(__xludf.DUMMYFUNCTION("IMPORTRANGE(""https://docs.google.com/spreadsheets/d/11923uPwbBZFjjGgGUA6NLw09EwE0CqkOc4q9oUmW1yo/edit?usp=sharing"",""เชียงใหม่!I414"")"),0)</f>
        <v>0</v>
      </c>
      <c r="J519" s="197">
        <f ca="1">IFERROR(__xludf.DUMMYFUNCTION("IMPORTRANGE(""https://docs.google.com/spreadsheets/d/11923uPwbBZFjjGgGUA6NLw09EwE0CqkOc4q9oUmW1yo/edit?usp=sharing"",""เชียงใหม่!J414"")"),0)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IFERROR(__xludf.DUMMYFUNCTION("IMPORTRANGE(""https://docs.google.com/spreadsheets/d/11923uPwbBZFjjGgGUA6NLw09EwE0CqkOc4q9oUmW1yo/edit?usp=sharing"",""เชียงใหม่!I415"")"),0)</f>
        <v>0</v>
      </c>
      <c r="J520" s="197">
        <f ca="1">IFERROR(__xludf.DUMMYFUNCTION("IMPORTRANGE(""https://docs.google.com/spreadsheets/d/11923uPwbBZFjjGgGUA6NLw09EwE0CqkOc4q9oUmW1yo/edit?usp=sharing"",""เชียงใหม่!J415"")"),0)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IFERROR(__xludf.DUMMYFUNCTION("IMPORTRANGE(""https://docs.google.com/spreadsheets/d/11923uPwbBZFjjGgGUA6NLw09EwE0CqkOc4q9oUmW1yo/edit?usp=sharing"",""เชียงใหม่!I416"")"),0)</f>
        <v>0</v>
      </c>
      <c r="J521" s="197">
        <f ca="1">IFERROR(__xludf.DUMMYFUNCTION("IMPORTRANGE(""https://docs.google.com/spreadsheets/d/11923uPwbBZFjjGgGUA6NLw09EwE0CqkOc4q9oUmW1yo/edit?usp=sharing"",""เชียงใหม่!J416"")"),0)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IFERROR(__xludf.DUMMYFUNCTION("IMPORTRANGE(""https://docs.google.com/spreadsheets/d/11923uPwbBZFjjGgGUA6NLw09EwE0CqkOc4q9oUmW1yo/edit?usp=sharing"",""เชียงใหม่!I417"")"),0)</f>
        <v>0</v>
      </c>
      <c r="J522" s="197">
        <f ca="1">IFERROR(__xludf.DUMMYFUNCTION("IMPORTRANGE(""https://docs.google.com/spreadsheets/d/11923uPwbBZFjjGgGUA6NLw09EwE0CqkOc4q9oUmW1yo/edit?usp=sharing"",""เชียงใหม่!J417"")"),0)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IFERROR(__xludf.DUMMYFUNCTION("IMPORTRANGE(""https://docs.google.com/spreadsheets/d/11923uPwbBZFjjGgGUA6NLw09EwE0CqkOc4q9oUmW1yo/edit?usp=sharing"",""เชียงใหม่!I418"")"),0)</f>
        <v>0</v>
      </c>
      <c r="J523" s="197">
        <f ca="1">IFERROR(__xludf.DUMMYFUNCTION("IMPORTRANGE(""https://docs.google.com/spreadsheets/d/11923uPwbBZFjjGgGUA6NLw09EwE0CqkOc4q9oUmW1yo/edit?usp=sharing"",""เชียงใหม่!J418"")"),0)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IFERROR(__xludf.DUMMYFUNCTION("IMPORTRANGE(""https://docs.google.com/spreadsheets/d/11923uPwbBZFjjGgGUA6NLw09EwE0CqkOc4q9oUmW1yo/edit?usp=sharing"",""เชียงใหม่!I419"")"),0)</f>
        <v>0</v>
      </c>
      <c r="J524" s="197">
        <f ca="1">IFERROR(__xludf.DUMMYFUNCTION("IMPORTRANGE(""https://docs.google.com/spreadsheets/d/11923uPwbBZFjjGgGUA6NLw09EwE0CqkOc4q9oUmW1yo/edit?usp=sharing"",""เชียงใหม่!J419"")"),0)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IFERROR(__xludf.DUMMYFUNCTION("IMPORTRANGE(""https://docs.google.com/spreadsheets/d/11923uPwbBZFjjGgGUA6NLw09EwE0CqkOc4q9oUmW1yo/edit?usp=sharing"",""เชียงใหม่!I420"")"),0)</f>
        <v>0</v>
      </c>
      <c r="J525" s="292">
        <f ca="1">IFERROR(__xludf.DUMMYFUNCTION("IMPORTRANGE(""https://docs.google.com/spreadsheets/d/11923uPwbBZFjjGgGUA6NLw09EwE0CqkOc4q9oUmW1yo/edit?usp=sharing"",""เชียงใหม่!J420"")"),0)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IFERROR(__xludf.DUMMYFUNCTION("IMPORTRANGE(""https://docs.google.com/spreadsheets/d/11923uPwbBZFjjGgGUA6NLw09EwE0CqkOc4q9oUmW1yo/edit?usp=sharing"",""เชียงใหม่!I421"")"),0)</f>
        <v>0</v>
      </c>
      <c r="J526" s="292">
        <f ca="1">IFERROR(__xludf.DUMMYFUNCTION("IMPORTRANGE(""https://docs.google.com/spreadsheets/d/11923uPwbBZFjjGgGUA6NLw09EwE0CqkOc4q9oUmW1yo/edit?usp=sharing"",""เชียงใหม่!J421"")"),0)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IFERROR(__xludf.DUMMYFUNCTION("IMPORTRANGE(""https://docs.google.com/spreadsheets/d/11923uPwbBZFjjGgGUA6NLw09EwE0CqkOc4q9oUmW1yo/edit?usp=sharing"",""เชียงใหม่!I422"")"),0)</f>
        <v>0</v>
      </c>
      <c r="J527" s="207">
        <f ca="1">IFERROR(__xludf.DUMMYFUNCTION("IMPORTRANGE(""https://docs.google.com/spreadsheets/d/11923uPwbBZFjjGgGUA6NLw09EwE0CqkOc4q9oUmW1yo/edit?usp=sharing"",""เชียงใหม่!J422"")"),0)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IFERROR(__xludf.DUMMYFUNCTION("IMPORTRANGE(""https://docs.google.com/spreadsheets/d/11923uPwbBZFjjGgGUA6NLw09EwE0CqkOc4q9oUmW1yo/edit?usp=sharing"",""เชียงใหม่!I423"")"),0)</f>
        <v>0</v>
      </c>
      <c r="J528" s="207">
        <f ca="1">IFERROR(__xludf.DUMMYFUNCTION("IMPORTRANGE(""https://docs.google.com/spreadsheets/d/11923uPwbBZFjjGgGUA6NLw09EwE0CqkOc4q9oUmW1yo/edit?usp=sharing"",""เชียงใหม่!J423"")"),0)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IFERROR(__xludf.DUMMYFUNCTION("IMPORTRANGE(""https://docs.google.com/spreadsheets/d/11923uPwbBZFjjGgGUA6NLw09EwE0CqkOc4q9oUmW1yo/edit?usp=sharing"",""เชียงใหม่!I424"")"),0)</f>
        <v>0</v>
      </c>
      <c r="J529" s="207">
        <f ca="1">IFERROR(__xludf.DUMMYFUNCTION("IMPORTRANGE(""https://docs.google.com/spreadsheets/d/11923uPwbBZFjjGgGUA6NLw09EwE0CqkOc4q9oUmW1yo/edit?usp=sharing"",""เชียงใหม่!J424"")"),0)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IFERROR(__xludf.DUMMYFUNCTION("IMPORTRANGE(""https://docs.google.com/spreadsheets/d/11923uPwbBZFjjGgGUA6NLw09EwE0CqkOc4q9oUmW1yo/edit?usp=sharing"",""เชียงใหม่!I425"")"),0)</f>
        <v>0</v>
      </c>
      <c r="J530" s="207">
        <f ca="1">IFERROR(__xludf.DUMMYFUNCTION("IMPORTRANGE(""https://docs.google.com/spreadsheets/d/11923uPwbBZFjjGgGUA6NLw09EwE0CqkOc4q9oUmW1yo/edit?usp=sharing"",""เชียงใหม่!J425"")"),0)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IFERROR(__xludf.DUMMYFUNCTION("IMPORTRANGE(""https://docs.google.com/spreadsheets/d/11923uPwbBZFjjGgGUA6NLw09EwE0CqkOc4q9oUmW1yo/edit?usp=sharing"",""เชียงใหม่!I426"")"),0)</f>
        <v>0</v>
      </c>
      <c r="J531" s="207">
        <f ca="1">IFERROR(__xludf.DUMMYFUNCTION("IMPORTRANGE(""https://docs.google.com/spreadsheets/d/11923uPwbBZFjjGgGUA6NLw09EwE0CqkOc4q9oUmW1yo/edit?usp=sharing"",""เชียงใหม่!J426"")"),0)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IFERROR(__xludf.DUMMYFUNCTION("IMPORTRANGE(""https://docs.google.com/spreadsheets/d/11923uPwbBZFjjGgGUA6NLw09EwE0CqkOc4q9oUmW1yo/edit?usp=sharing"",""เชียงใหม่!I427"")"),0)</f>
        <v>0</v>
      </c>
      <c r="J532" s="474">
        <f ca="1">IFERROR(__xludf.DUMMYFUNCTION("IMPORTRANGE(""https://docs.google.com/spreadsheets/d/11923uPwbBZFjjGgGUA6NLw09EwE0CqkOc4q9oUmW1yo/edit?usp=sharing"",""เชียงใหม่!J427"")"),0)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IFERROR(__xludf.DUMMYFUNCTION("IMPORTRANGE(""https://docs.google.com/spreadsheets/d/11923uPwbBZFjjGgGUA6NLw09EwE0CqkOc4q9oUmW1yo/edit?usp=sharing"",""เชียงใหม่!I428"")"),26)</f>
        <v>26</v>
      </c>
      <c r="J533" s="418">
        <f ca="1">IFERROR(__xludf.DUMMYFUNCTION("IMPORTRANGE(""https://docs.google.com/spreadsheets/d/11923uPwbBZFjjGgGUA6NLw09EwE0CqkOc4q9oUmW1yo/edit?usp=sharing"",""เชียงใหม่!J428"")"),26)</f>
        <v>26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IFERROR(__xludf.DUMMYFUNCTION("IMPORTRANGE(""https://docs.google.com/spreadsheets/d/11923uPwbBZFjjGgGUA6NLw09EwE0CqkOc4q9oUmW1yo/edit?usp=sharing"",""เชียงใหม่!L428"")"),37740)</f>
        <v>37740</v>
      </c>
      <c r="M533" s="420"/>
      <c r="N533" s="420">
        <f ca="1">IFERROR(__xludf.DUMMYFUNCTION("IMPORTRANGE(""https://docs.google.com/spreadsheets/d/11923uPwbBZFjjGgGUA6NLw09EwE0CqkOc4q9oUmW1yo/edit?usp=sharing"",""เชียงใหม่!M428"")"),26444)</f>
        <v>26444</v>
      </c>
      <c r="O533" s="420">
        <f t="shared" ref="O533:O537" ca="1" si="118">+IF(L533&gt;0,N533*100/L533,0)</f>
        <v>70.068892421833596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IFERROR(__xludf.DUMMYFUNCTION("IMPORTRANGE(""https://docs.google.com/spreadsheets/d/11923uPwbBZFjjGgGUA6NLw09EwE0CqkOc4q9oUmW1yo/edit?usp=sharing"",""เชียงใหม่!L429"")"),0)</f>
        <v>0</v>
      </c>
      <c r="M534" s="172"/>
      <c r="N534" s="178">
        <f ca="1">IFERROR(__xludf.DUMMYFUNCTION("IMPORTRANGE(""https://docs.google.com/spreadsheets/d/11923uPwbBZFjjGgGUA6NLw09EwE0CqkOc4q9oUmW1yo/edit?usp=sharing"",""เชียงใหม่!M429"")"),0)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IFERROR(__xludf.DUMMYFUNCTION("IMPORTRANGE(""https://docs.google.com/spreadsheets/d/11923uPwbBZFjjGgGUA6NLw09EwE0CqkOc4q9oUmW1yo/edit?usp=sharing"",""เชียงใหม่!L430"")"),37740)</f>
        <v>37740</v>
      </c>
      <c r="M535" s="173"/>
      <c r="N535" s="178">
        <f ca="1">IFERROR(__xludf.DUMMYFUNCTION("IMPORTRANGE(""https://docs.google.com/spreadsheets/d/11923uPwbBZFjjGgGUA6NLw09EwE0CqkOc4q9oUmW1yo/edit?usp=sharing"",""เชียงใหม่!M430"")"),26444)</f>
        <v>26444</v>
      </c>
      <c r="O535" s="178">
        <f t="shared" ca="1" si="118"/>
        <v>70.068892421833596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IFERROR(__xludf.DUMMYFUNCTION("IMPORTRANGE(""https://docs.google.com/spreadsheets/d/11923uPwbBZFjjGgGUA6NLw09EwE0CqkOc4q9oUmW1yo/edit?usp=sharing"",""เชียงใหม่!L431"")"),0)</f>
        <v>0</v>
      </c>
      <c r="M536" s="178"/>
      <c r="N536" s="178">
        <f ca="1">IFERROR(__xludf.DUMMYFUNCTION("IMPORTRANGE(""https://docs.google.com/spreadsheets/d/11923uPwbBZFjjGgGUA6NLw09EwE0CqkOc4q9oUmW1yo/edit?usp=sharing"",""เชียงใหม่!M431"")"),0)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IFERROR(__xludf.DUMMYFUNCTION("IMPORTRANGE(""https://docs.google.com/spreadsheets/d/11923uPwbBZFjjGgGUA6NLw09EwE0CqkOc4q9oUmW1yo/edit?usp=sharing"",""เชียงใหม่!L432"")"),37740)</f>
        <v>37740</v>
      </c>
      <c r="M537" s="178"/>
      <c r="N537" s="178">
        <f ca="1">IFERROR(__xludf.DUMMYFUNCTION("IMPORTRANGE(""https://docs.google.com/spreadsheets/d/11923uPwbBZFjjGgGUA6NLw09EwE0CqkOc4q9oUmW1yo/edit?usp=sharing"",""เชียงใหม่!M432"")"),26444)</f>
        <v>26444</v>
      </c>
      <c r="O537" s="178">
        <f t="shared" ca="1" si="118"/>
        <v>70.068892421833596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IFERROR(__xludf.DUMMYFUNCTION("IMPORTRANGE(""https://docs.google.com/spreadsheets/d/11923uPwbBZFjjGgGUA6NLw09EwE0CqkOc4q9oUmW1yo/edit?usp=sharing"",""เชียงใหม่!M433"")"),20904)</f>
        <v>20904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IFERROR(__xludf.DUMMYFUNCTION("IMPORTRANGE(""https://docs.google.com/spreadsheets/d/11923uPwbBZFjjGgGUA6NLw09EwE0CqkOc4q9oUmW1yo/edit?usp=sharing"",""เชียงใหม่!M434"")"),0)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IFERROR(__xludf.DUMMYFUNCTION("IMPORTRANGE(""https://docs.google.com/spreadsheets/d/11923uPwbBZFjjGgGUA6NLw09EwE0CqkOc4q9oUmW1yo/edit?usp=sharing"",""เชียงใหม่!M435"")"),0)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IFERROR(__xludf.DUMMYFUNCTION("IMPORTRANGE(""https://docs.google.com/spreadsheets/d/11923uPwbBZFjjGgGUA6NLw09EwE0CqkOc4q9oUmW1yo/edit?usp=sharing"",""เชียงใหม่!M436"")"),5540)</f>
        <v>5540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IFERROR(__xludf.DUMMYFUNCTION("IMPORTRANGE(""https://docs.google.com/spreadsheets/d/11923uPwbBZFjjGgGUA6NLw09EwE0CqkOc4q9oUmW1yo/edit?usp=sharing"",""เชียงใหม่!J438"")"),0)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IFERROR(__xludf.DUMMYFUNCTION("IMPORTRANGE(""https://docs.google.com/spreadsheets/d/11923uPwbBZFjjGgGUA6NLw09EwE0CqkOc4q9oUmW1yo/edit?usp=sharing"",""เชียงใหม่!J439"")"),1)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IFERROR(__xludf.DUMMYFUNCTION("IMPORTRANGE(""https://docs.google.com/spreadsheets/d/11923uPwbBZFjjGgGUA6NLw09EwE0CqkOc4q9oUmW1yo/edit?usp=sharing"",""เชียงใหม่!J440"")"),1)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IFERROR(__xludf.DUMMYFUNCTION("IMPORTRANGE(""https://docs.google.com/spreadsheets/d/11923uPwbBZFjjGgGUA6NLw09EwE0CqkOc4q9oUmW1yo/edit?usp=sharing"",""เชียงใหม่!J441"")"),1)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IFERROR(__xludf.DUMMYFUNCTION("IMPORTRANGE(""https://docs.google.com/spreadsheets/d/11923uPwbBZFjjGgGUA6NLw09EwE0CqkOc4q9oUmW1yo/edit?usp=sharing"",""เชียงใหม่!I442"")"),26)</f>
        <v>26</v>
      </c>
      <c r="J547" s="198">
        <f ca="1">IFERROR(__xludf.DUMMYFUNCTION("IMPORTRANGE(""https://docs.google.com/spreadsheets/d/11923uPwbBZFjjGgGUA6NLw09EwE0CqkOc4q9oUmW1yo/edit?usp=sharing"",""เชียงใหม่!J442"")"),26)</f>
        <v>26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IFERROR(__xludf.DUMMYFUNCTION("IMPORTRANGE(""https://docs.google.com/spreadsheets/d/11923uPwbBZFjjGgGUA6NLw09EwE0CqkOc4q9oUmW1yo/edit?usp=sharing"",""เชียงใหม่!J166"")"),0)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IFERROR(__xludf.DUMMYFUNCTION("IMPORTRANGE(""https://docs.google.com/spreadsheets/d/11923uPwbBZFjjGgGUA6NLw09EwE0CqkOc4q9oUmW1yo/edit?usp=sharing"",""เชียงใหม่!J444"")"),0)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IFERROR(__xludf.DUMMYFUNCTION("IMPORTRANGE(""https://docs.google.com/spreadsheets/d/11923uPwbBZFjjGgGUA6NLw09EwE0CqkOc4q9oUmW1yo/edit?usp=sharing"",""เชียงใหม่!J445"")"),0)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IFERROR(__xludf.DUMMYFUNCTION("IMPORTRANGE(""https://docs.google.com/spreadsheets/d/11923uPwbBZFjjGgGUA6NLw09EwE0CqkOc4q9oUmW1yo/edit?usp=sharing"",""เชียงใหม่!I446"")"),3000)</f>
        <v>3000</v>
      </c>
      <c r="J551" s="418">
        <f ca="1">IFERROR(__xludf.DUMMYFUNCTION("IMPORTRANGE(""https://docs.google.com/spreadsheets/d/11923uPwbBZFjjGgGUA6NLw09EwE0CqkOc4q9oUmW1yo/edit?usp=sharing"",""เชียงใหม่!J446"")"),181)</f>
        <v>181</v>
      </c>
      <c r="K551" s="419">
        <f ca="1">IF(I551&gt;0,J551*100/I551,0)</f>
        <v>6.0333333333333332</v>
      </c>
      <c r="L551" s="420">
        <f ca="1">IFERROR(__xludf.DUMMYFUNCTION("IMPORTRANGE(""https://docs.google.com/spreadsheets/d/11923uPwbBZFjjGgGUA6NLw09EwE0CqkOc4q9oUmW1yo/edit?usp=sharing"",""เชียงใหม่!L446"")"),188000)</f>
        <v>188000</v>
      </c>
      <c r="M551" s="420"/>
      <c r="N551" s="420">
        <f ca="1">IFERROR(__xludf.DUMMYFUNCTION("IMPORTRANGE(""https://docs.google.com/spreadsheets/d/11923uPwbBZFjjGgGUA6NLw09EwE0CqkOc4q9oUmW1yo/edit?usp=sharing"",""เชียงใหม่!M446"")"),24151.44)</f>
        <v>24151.439999999999</v>
      </c>
      <c r="O551" s="420">
        <f t="shared" ref="O551:O555" ca="1" si="120">+IF(L551&gt;0,N551*100/L551,0)</f>
        <v>12.846510638297872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IFERROR(__xludf.DUMMYFUNCTION("IMPORTRANGE(""https://docs.google.com/spreadsheets/d/11923uPwbBZFjjGgGUA6NLw09EwE0CqkOc4q9oUmW1yo/edit?usp=sharing"",""เชียงใหม่!L447"")"),0)</f>
        <v>0</v>
      </c>
      <c r="M552" s="172"/>
      <c r="N552" s="178">
        <f ca="1">IFERROR(__xludf.DUMMYFUNCTION("IMPORTRANGE(""https://docs.google.com/spreadsheets/d/11923uPwbBZFjjGgGUA6NLw09EwE0CqkOc4q9oUmW1yo/edit?usp=sharing"",""เชียงใหม่!M447"")"),0)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IFERROR(__xludf.DUMMYFUNCTION("IMPORTRANGE(""https://docs.google.com/spreadsheets/d/11923uPwbBZFjjGgGUA6NLw09EwE0CqkOc4q9oUmW1yo/edit?usp=sharing"",""เชียงใหม่!L448"")"),188000)</f>
        <v>188000</v>
      </c>
      <c r="M553" s="173"/>
      <c r="N553" s="178">
        <f ca="1">IFERROR(__xludf.DUMMYFUNCTION("IMPORTRANGE(""https://docs.google.com/spreadsheets/d/11923uPwbBZFjjGgGUA6NLw09EwE0CqkOc4q9oUmW1yo/edit?usp=sharing"",""เชียงใหม่!M448"")"),24151.44)</f>
        <v>24151.439999999999</v>
      </c>
      <c r="O553" s="178">
        <f t="shared" ca="1" si="120"/>
        <v>12.846510638297872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IFERROR(__xludf.DUMMYFUNCTION("IMPORTRANGE(""https://docs.google.com/spreadsheets/d/11923uPwbBZFjjGgGUA6NLw09EwE0CqkOc4q9oUmW1yo/edit?usp=sharing"",""เชียงใหม่!L449"")"),0)</f>
        <v>0</v>
      </c>
      <c r="M554" s="178"/>
      <c r="N554" s="178">
        <f ca="1">IFERROR(__xludf.DUMMYFUNCTION("IMPORTRANGE(""https://docs.google.com/spreadsheets/d/11923uPwbBZFjjGgGUA6NLw09EwE0CqkOc4q9oUmW1yo/edit?usp=sharing"",""เชียงใหม่!M449"")"),0)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IFERROR(__xludf.DUMMYFUNCTION("IMPORTRANGE(""https://docs.google.com/spreadsheets/d/11923uPwbBZFjjGgGUA6NLw09EwE0CqkOc4q9oUmW1yo/edit?usp=sharing"",""เชียงใหม่!L450"")"),188000)</f>
        <v>188000</v>
      </c>
      <c r="M555" s="178"/>
      <c r="N555" s="178">
        <f ca="1">IFERROR(__xludf.DUMMYFUNCTION("IMPORTRANGE(""https://docs.google.com/spreadsheets/d/11923uPwbBZFjjGgGUA6NLw09EwE0CqkOc4q9oUmW1yo/edit?usp=sharing"",""เชียงใหม่!M450"")"),24151.44)</f>
        <v>24151.439999999999</v>
      </c>
      <c r="O555" s="178">
        <f t="shared" ca="1" si="120"/>
        <v>12.846510638297872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IFERROR(__xludf.DUMMYFUNCTION("IMPORTRANGE(""https://docs.google.com/spreadsheets/d/11923uPwbBZFjjGgGUA6NLw09EwE0CqkOc4q9oUmW1yo/edit?usp=sharing"",""เชียงใหม่!M451"")"),0)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IFERROR(__xludf.DUMMYFUNCTION("IMPORTRANGE(""https://docs.google.com/spreadsheets/d/11923uPwbBZFjjGgGUA6NLw09EwE0CqkOc4q9oUmW1yo/edit?usp=sharing"",""เชียงใหม่!M452"")"),0)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IFERROR(__xludf.DUMMYFUNCTION("IMPORTRANGE(""https://docs.google.com/spreadsheets/d/11923uPwbBZFjjGgGUA6NLw09EwE0CqkOc4q9oUmW1yo/edit?usp=sharing"",""เชียงใหม่!M453"")"),0)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IFERROR(__xludf.DUMMYFUNCTION("IMPORTRANGE(""https://docs.google.com/spreadsheets/d/11923uPwbBZFjjGgGUA6NLw09EwE0CqkOc4q9oUmW1yo/edit?usp=sharing"",""เชียงใหม่!M454"")"),24151.44)</f>
        <v>24151.439999999999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IFERROR(__xludf.DUMMYFUNCTION("IMPORTRANGE(""https://docs.google.com/spreadsheets/d/11923uPwbBZFjjGgGUA6NLw09EwE0CqkOc4q9oUmW1yo/edit?usp=sharing"",""เชียงใหม่!I455"")"),3000)</f>
        <v>3000</v>
      </c>
      <c r="J560" s="170">
        <f ca="1">IFERROR(__xludf.DUMMYFUNCTION("IMPORTRANGE(""https://docs.google.com/spreadsheets/d/11923uPwbBZFjjGgGUA6NLw09EwE0CqkOc4q9oUmW1yo/edit?usp=sharing"",""เชียงใหม่!J455"")"),181)</f>
        <v>181</v>
      </c>
      <c r="K560" s="233">
        <f t="shared" ref="K560:K564" ca="1" si="121">IF(I560&gt;0,J560*100/I560,0)</f>
        <v>6.0333333333333332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IFERROR(__xludf.DUMMYFUNCTION("IMPORTRANGE(""https://docs.google.com/spreadsheets/d/11923uPwbBZFjjGgGUA6NLw09EwE0CqkOc4q9oUmW1yo/edit?usp=sharing"",""เชียงใหม่!I456"")"),0)</f>
        <v>0</v>
      </c>
      <c r="J561" s="213">
        <f ca="1">IFERROR(__xludf.DUMMYFUNCTION("IMPORTRANGE(""https://docs.google.com/spreadsheets/d/11923uPwbBZFjjGgGUA6NLw09EwE0CqkOc4q9oUmW1yo/edit?usp=sharing"",""เชียงใหม่!J456"")"),46)</f>
        <v>46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IFERROR(__xludf.DUMMYFUNCTION("IMPORTRANGE(""https://docs.google.com/spreadsheets/d/11923uPwbBZFjjGgGUA6NLw09EwE0CqkOc4q9oUmW1yo/edit?usp=sharing"",""เชียงใหม่!J457"")"),"")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IFERROR(__xludf.DUMMYFUNCTION("IMPORTRANGE(""https://docs.google.com/spreadsheets/d/11923uPwbBZFjjGgGUA6NLw09EwE0CqkOc4q9oUmW1yo/edit?usp=sharing"",""เชียงใหม่!J458"")"),"")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IFERROR(__xludf.DUMMYFUNCTION("IMPORTRANGE(""https://docs.google.com/spreadsheets/d/11923uPwbBZFjjGgGUA6NLw09EwE0CqkOc4q9oUmW1yo/edit?usp=sharing"",""เชียงใหม่!I459"")"),1000)</f>
        <v>1000</v>
      </c>
      <c r="J564" s="379">
        <f ca="1">IFERROR(__xludf.DUMMYFUNCTION("IMPORTRANGE(""https://docs.google.com/spreadsheets/d/11923uPwbBZFjjGgGUA6NLw09EwE0CqkOc4q9oUmW1yo/edit?usp=sharing"",""เชียงใหม่!J459"")"),442)</f>
        <v>442</v>
      </c>
      <c r="K564" s="380">
        <f t="shared" ca="1" si="121"/>
        <v>44.2</v>
      </c>
      <c r="L564" s="381">
        <f ca="1">IFERROR(__xludf.DUMMYFUNCTION("IMPORTRANGE(""https://docs.google.com/spreadsheets/d/11923uPwbBZFjjGgGUA6NLw09EwE0CqkOc4q9oUmW1yo/edit?usp=sharing"",""เชียงใหม่!L459"")"),130880)</f>
        <v>130880</v>
      </c>
      <c r="M564" s="381"/>
      <c r="N564" s="381">
        <f ca="1">IFERROR(__xludf.DUMMYFUNCTION("IMPORTRANGE(""https://docs.google.com/spreadsheets/d/11923uPwbBZFjjGgGUA6NLw09EwE0CqkOc4q9oUmW1yo/edit?usp=sharing"",""เชียงใหม่!M459"")"),10775.24)</f>
        <v>10775.24</v>
      </c>
      <c r="O564" s="381">
        <f t="shared" ref="O564:O568" ca="1" si="122">+IF(L564&gt;0,N564*100/L564,0)</f>
        <v>8.2329156479217609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IFERROR(__xludf.DUMMYFUNCTION("IMPORTRANGE(""https://docs.google.com/spreadsheets/d/11923uPwbBZFjjGgGUA6NLw09EwE0CqkOc4q9oUmW1yo/edit?usp=sharing"",""เชียงใหม่!L460"")"),0)</f>
        <v>0</v>
      </c>
      <c r="M565" s="172"/>
      <c r="N565" s="178">
        <f ca="1">IFERROR(__xludf.DUMMYFUNCTION("IMPORTRANGE(""https://docs.google.com/spreadsheets/d/11923uPwbBZFjjGgGUA6NLw09EwE0CqkOc4q9oUmW1yo/edit?usp=sharing"",""เชียงใหม่!M460"")"),0)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IFERROR(__xludf.DUMMYFUNCTION("IMPORTRANGE(""https://docs.google.com/spreadsheets/d/11923uPwbBZFjjGgGUA6NLw09EwE0CqkOc4q9oUmW1yo/edit?usp=sharing"",""เชียงใหม่!L461"")"),130880)</f>
        <v>130880</v>
      </c>
      <c r="M566" s="173"/>
      <c r="N566" s="178">
        <f ca="1">IFERROR(__xludf.DUMMYFUNCTION("IMPORTRANGE(""https://docs.google.com/spreadsheets/d/11923uPwbBZFjjGgGUA6NLw09EwE0CqkOc4q9oUmW1yo/edit?usp=sharing"",""เชียงใหม่!M461"")"),10775.24)</f>
        <v>10775.24</v>
      </c>
      <c r="O566" s="178">
        <f t="shared" ca="1" si="122"/>
        <v>8.2329156479217609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IFERROR(__xludf.DUMMYFUNCTION("IMPORTRANGE(""https://docs.google.com/spreadsheets/d/11923uPwbBZFjjGgGUA6NLw09EwE0CqkOc4q9oUmW1yo/edit?usp=sharing"",""เชียงใหม่!L462"")"),0)</f>
        <v>0</v>
      </c>
      <c r="M567" s="178"/>
      <c r="N567" s="178">
        <f ca="1">IFERROR(__xludf.DUMMYFUNCTION("IMPORTRANGE(""https://docs.google.com/spreadsheets/d/11923uPwbBZFjjGgGUA6NLw09EwE0CqkOc4q9oUmW1yo/edit?usp=sharing"",""เชียงใหม่!M462"")"),0)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IFERROR(__xludf.DUMMYFUNCTION("IMPORTRANGE(""https://docs.google.com/spreadsheets/d/11923uPwbBZFjjGgGUA6NLw09EwE0CqkOc4q9oUmW1yo/edit?usp=sharing"",""เชียงใหม่!L463"")"),130880)</f>
        <v>130880</v>
      </c>
      <c r="M568" s="178"/>
      <c r="N568" s="178">
        <f ca="1">IFERROR(__xludf.DUMMYFUNCTION("IMPORTRANGE(""https://docs.google.com/spreadsheets/d/11923uPwbBZFjjGgGUA6NLw09EwE0CqkOc4q9oUmW1yo/edit?usp=sharing"",""เชียงใหม่!M463"")"),10775.24)</f>
        <v>10775.24</v>
      </c>
      <c r="O568" s="178">
        <f t="shared" ca="1" si="122"/>
        <v>8.2329156479217609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IFERROR(__xludf.DUMMYFUNCTION("IMPORTRANGE(""https://docs.google.com/spreadsheets/d/11923uPwbBZFjjGgGUA6NLw09EwE0CqkOc4q9oUmW1yo/edit?usp=sharing"",""เชียงใหม่!M464"")"),0)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IFERROR(__xludf.DUMMYFUNCTION("IMPORTRANGE(""https://docs.google.com/spreadsheets/d/11923uPwbBZFjjGgGUA6NLw09EwE0CqkOc4q9oUmW1yo/edit?usp=sharing"",""เชียงใหม่!M465"")"),0)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IFERROR(__xludf.DUMMYFUNCTION("IMPORTRANGE(""https://docs.google.com/spreadsheets/d/11923uPwbBZFjjGgGUA6NLw09EwE0CqkOc4q9oUmW1yo/edit?usp=sharing"",""เชียงใหม่!M466"")"),9935.24)</f>
        <v>9935.24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IFERROR(__xludf.DUMMYFUNCTION("IMPORTRANGE(""https://docs.google.com/spreadsheets/d/11923uPwbBZFjjGgGUA6NLw09EwE0CqkOc4q9oUmW1yo/edit?usp=sharing"",""เชียงใหม่!M467"")"),840)</f>
        <v>840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IFERROR(__xludf.DUMMYFUNCTION("IMPORTRANGE(""https://docs.google.com/spreadsheets/d/11923uPwbBZFjjGgGUA6NLw09EwE0CqkOc4q9oUmW1yo/edit?usp=sharing"",""เชียงใหม่!I468"")"),1000)</f>
        <v>1000</v>
      </c>
      <c r="J573" s="428">
        <f ca="1">IFERROR(__xludf.DUMMYFUNCTION("IMPORTRANGE(""https://docs.google.com/spreadsheets/d/11923uPwbBZFjjGgGUA6NLw09EwE0CqkOc4q9oUmW1yo/edit?usp=sharing"",""เชียงใหม่!J468"")"),442)</f>
        <v>442</v>
      </c>
      <c r="K573" s="211">
        <f ca="1">IF(I573&gt;0,J573*100/I573,0)</f>
        <v>44.2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IFERROR(__xludf.DUMMYFUNCTION("IMPORTRANGE(""https://docs.google.com/spreadsheets/d/11923uPwbBZFjjGgGUA6NLw09EwE0CqkOc4q9oUmW1yo/edit?usp=sharing"",""เชียงใหม่!I470"")"),0)</f>
        <v>0</v>
      </c>
      <c r="J575" s="207">
        <f ca="1">IFERROR(__xludf.DUMMYFUNCTION("IMPORTRANGE(""https://docs.google.com/spreadsheets/d/11923uPwbBZFjjGgGUA6NLw09EwE0CqkOc4q9oUmW1yo/edit?usp=sharing"",""เชียงใหม่!J470"")"),1)</f>
        <v>1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IFERROR(__xludf.DUMMYFUNCTION("IMPORTRANGE(""https://docs.google.com/spreadsheets/d/11923uPwbBZFjjGgGUA6NLw09EwE0CqkOc4q9oUmW1yo/edit?usp=sharing"",""เชียงใหม่!I471"")"),0)</f>
        <v>0</v>
      </c>
      <c r="J576" s="207">
        <f ca="1">IFERROR(__xludf.DUMMYFUNCTION("IMPORTRANGE(""https://docs.google.com/spreadsheets/d/11923uPwbBZFjjGgGUA6NLw09EwE0CqkOc4q9oUmW1yo/edit?usp=sharing"",""เชียงใหม่!J471"")"),35)</f>
        <v>35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IFERROR(__xludf.DUMMYFUNCTION("IMPORTRANGE(""https://docs.google.com/spreadsheets/d/11923uPwbBZFjjGgGUA6NLw09EwE0CqkOc4q9oUmW1yo/edit?usp=sharing"",""เชียงใหม่!I472"")"),0)</f>
        <v>0</v>
      </c>
      <c r="J577" s="198">
        <f ca="1">IFERROR(__xludf.DUMMYFUNCTION("IMPORTRANGE(""https://docs.google.com/spreadsheets/d/11923uPwbBZFjjGgGUA6NLw09EwE0CqkOc4q9oUmW1yo/edit?usp=sharing"",""เชียงใหม่!J472"")"),389)</f>
        <v>389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IFERROR(__xludf.DUMMYFUNCTION("IMPORTRANGE(""https://docs.google.com/spreadsheets/d/11923uPwbBZFjjGgGUA6NLw09EwE0CqkOc4q9oUmW1yo/edit?usp=sharing"",""เชียงใหม่!I473"")"),0)</f>
        <v>0</v>
      </c>
      <c r="J578" s="207">
        <f ca="1">IFERROR(__xludf.DUMMYFUNCTION("IMPORTRANGE(""https://docs.google.com/spreadsheets/d/11923uPwbBZFjjGgGUA6NLw09EwE0CqkOc4q9oUmW1yo/edit?usp=sharing"",""เชียงใหม่!J473"")"),1)</f>
        <v>1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IFERROR(__xludf.DUMMYFUNCTION("IMPORTRANGE(""https://docs.google.com/spreadsheets/d/11923uPwbBZFjjGgGUA6NLw09EwE0CqkOc4q9oUmW1yo/edit?usp=sharing"",""เชียงใหม่!I474"")"),0)</f>
        <v>0</v>
      </c>
      <c r="J579" s="207">
        <f ca="1">IFERROR(__xludf.DUMMYFUNCTION("IMPORTRANGE(""https://docs.google.com/spreadsheets/d/11923uPwbBZFjjGgGUA6NLw09EwE0CqkOc4q9oUmW1yo/edit?usp=sharing"",""เชียงใหม่!J474"")"),17)</f>
        <v>17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IFERROR(__xludf.DUMMYFUNCTION("IMPORTRANGE(""https://docs.google.com/spreadsheets/d/11923uPwbBZFjjGgGUA6NLw09EwE0CqkOc4q9oUmW1yo/edit?usp=sharing"",""เชียงใหม่!I475"")"),30)</f>
        <v>30</v>
      </c>
      <c r="J580" s="379">
        <f ca="1">IFERROR(__xludf.DUMMYFUNCTION("IMPORTRANGE(""https://docs.google.com/spreadsheets/d/11923uPwbBZFjjGgGUA6NLw09EwE0CqkOc4q9oUmW1yo/edit?usp=sharing"",""เชียงใหม่!J475"")"),0)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IFERROR(__xludf.DUMMYFUNCTION("IMPORTRANGE(""https://docs.google.com/spreadsheets/d/11923uPwbBZFjjGgGUA6NLw09EwE0CqkOc4q9oUmW1yo/edit?usp=sharing"",""เชียงใหม่!L475"")"),153230)</f>
        <v>153230</v>
      </c>
      <c r="M580" s="381"/>
      <c r="N580" s="381">
        <f ca="1">IFERROR(__xludf.DUMMYFUNCTION("IMPORTRANGE(""https://docs.google.com/spreadsheets/d/11923uPwbBZFjjGgGUA6NLw09EwE0CqkOc4q9oUmW1yo/edit?usp=sharing"",""เชียงใหม่!M475"")"),10920)</f>
        <v>10920</v>
      </c>
      <c r="O580" s="381">
        <f t="shared" ref="O580:O584" ca="1" si="124">+IF(L580&gt;0,N580*100/L580,0)</f>
        <v>7.126541799908634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IFERROR(__xludf.DUMMYFUNCTION("IMPORTRANGE(""https://docs.google.com/spreadsheets/d/11923uPwbBZFjjGgGUA6NLw09EwE0CqkOc4q9oUmW1yo/edit?usp=sharing"",""เชียงใหม่!L476"")"),0)</f>
        <v>0</v>
      </c>
      <c r="M581" s="172"/>
      <c r="N581" s="178">
        <f ca="1">IFERROR(__xludf.DUMMYFUNCTION("IMPORTRANGE(""https://docs.google.com/spreadsheets/d/11923uPwbBZFjjGgGUA6NLw09EwE0CqkOc4q9oUmW1yo/edit?usp=sharing"",""เชียงใหม่!M476"")"),0)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IFERROR(__xludf.DUMMYFUNCTION("IMPORTRANGE(""https://docs.google.com/spreadsheets/d/11923uPwbBZFjjGgGUA6NLw09EwE0CqkOc4q9oUmW1yo/edit?usp=sharing"",""เชียงใหม่!L477"")"),153230)</f>
        <v>153230</v>
      </c>
      <c r="M582" s="173"/>
      <c r="N582" s="178">
        <f ca="1">IFERROR(__xludf.DUMMYFUNCTION("IMPORTRANGE(""https://docs.google.com/spreadsheets/d/11923uPwbBZFjjGgGUA6NLw09EwE0CqkOc4q9oUmW1yo/edit?usp=sharing"",""เชียงใหม่!M477"")"),10920)</f>
        <v>10920</v>
      </c>
      <c r="O582" s="178">
        <f t="shared" ca="1" si="124"/>
        <v>7.126541799908634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IFERROR(__xludf.DUMMYFUNCTION("IMPORTRANGE(""https://docs.google.com/spreadsheets/d/11923uPwbBZFjjGgGUA6NLw09EwE0CqkOc4q9oUmW1yo/edit?usp=sharing"",""เชียงใหม่!L478"")"),0)</f>
        <v>0</v>
      </c>
      <c r="M583" s="178"/>
      <c r="N583" s="178">
        <f ca="1">IFERROR(__xludf.DUMMYFUNCTION("IMPORTRANGE(""https://docs.google.com/spreadsheets/d/11923uPwbBZFjjGgGUA6NLw09EwE0CqkOc4q9oUmW1yo/edit?usp=sharing"",""เชียงใหม่!M478"")"),0)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IFERROR(__xludf.DUMMYFUNCTION("IMPORTRANGE(""https://docs.google.com/spreadsheets/d/11923uPwbBZFjjGgGUA6NLw09EwE0CqkOc4q9oUmW1yo/edit?usp=sharing"",""เชียงใหม่!L479"")"),153230)</f>
        <v>153230</v>
      </c>
      <c r="M584" s="178"/>
      <c r="N584" s="178">
        <f ca="1">IFERROR(__xludf.DUMMYFUNCTION("IMPORTRANGE(""https://docs.google.com/spreadsheets/d/11923uPwbBZFjjGgGUA6NLw09EwE0CqkOc4q9oUmW1yo/edit?usp=sharing"",""เชียงใหม่!M479"")"),10920)</f>
        <v>10920</v>
      </c>
      <c r="O584" s="178">
        <f t="shared" ca="1" si="124"/>
        <v>7.126541799908634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IFERROR(__xludf.DUMMYFUNCTION("IMPORTRANGE(""https://docs.google.com/spreadsheets/d/11923uPwbBZFjjGgGUA6NLw09EwE0CqkOc4q9oUmW1yo/edit?usp=sharing"",""เชียงใหม่!M480"")"),0)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IFERROR(__xludf.DUMMYFUNCTION("IMPORTRANGE(""https://docs.google.com/spreadsheets/d/11923uPwbBZFjjGgGUA6NLw09EwE0CqkOc4q9oUmW1yo/edit?usp=sharing"",""เชียงใหม่!M481"")"),0)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IFERROR(__xludf.DUMMYFUNCTION("IMPORTRANGE(""https://docs.google.com/spreadsheets/d/11923uPwbBZFjjGgGUA6NLw09EwE0CqkOc4q9oUmW1yo/edit?usp=sharing"",""เชียงใหม่!M482"")"),0)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IFERROR(__xludf.DUMMYFUNCTION("IMPORTRANGE(""https://docs.google.com/spreadsheets/d/11923uPwbBZFjjGgGUA6NLw09EwE0CqkOc4q9oUmW1yo/edit?usp=sharing"",""เชียงใหม่!M483"")"),10920)</f>
        <v>10920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IFERROR(__xludf.DUMMYFUNCTION("IMPORTRANGE(""https://docs.google.com/spreadsheets/d/11923uPwbBZFjjGgGUA6NLw09EwE0CqkOc4q9oUmW1yo/edit?usp=sharing"",""เชียงใหม่!I484"")"),30)</f>
        <v>30</v>
      </c>
      <c r="J589" s="197">
        <f ca="1">IFERROR(__xludf.DUMMYFUNCTION("IMPORTRANGE(""https://docs.google.com/spreadsheets/d/11923uPwbBZFjjGgGUA6NLw09EwE0CqkOc4q9oUmW1yo/edit?usp=sharing"",""เชียงใหม่!J484"")"),31)</f>
        <v>31</v>
      </c>
      <c r="K589" s="171">
        <f t="shared" ref="K589:K596" ca="1" si="125">IF(I589&gt;0,J589*100/I589,0)</f>
        <v>103.33333333333333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IFERROR(__xludf.DUMMYFUNCTION("IMPORTRANGE(""https://docs.google.com/spreadsheets/d/11923uPwbBZFjjGgGUA6NLw09EwE0CqkOc4q9oUmW1yo/edit?usp=sharing"",""เชียงใหม่!I485"")"),0)</f>
        <v>0</v>
      </c>
      <c r="J590" s="197">
        <f ca="1">IFERROR(__xludf.DUMMYFUNCTION("IMPORTRANGE(""https://docs.google.com/spreadsheets/d/11923uPwbBZFjjGgGUA6NLw09EwE0CqkOc4q9oUmW1yo/edit?usp=sharing"",""เชียงใหม่!J485"")"),11.18)</f>
        <v>11.18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IFERROR(__xludf.DUMMYFUNCTION("IMPORTRANGE(""https://docs.google.com/spreadsheets/d/11923uPwbBZFjjGgGUA6NLw09EwE0CqkOc4q9oUmW1yo/edit?usp=sharing"",""เชียงใหม่!I486"")"),30)</f>
        <v>30</v>
      </c>
      <c r="J591" s="197">
        <f ca="1">IFERROR(__xludf.DUMMYFUNCTION("IMPORTRANGE(""https://docs.google.com/spreadsheets/d/11923uPwbBZFjjGgGUA6NLw09EwE0CqkOc4q9oUmW1yo/edit?usp=sharing"",""เชียงใหม่!J486"")"),14)</f>
        <v>14</v>
      </c>
      <c r="K591" s="171">
        <f t="shared" ca="1" si="125"/>
        <v>46.666666666666664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IFERROR(__xludf.DUMMYFUNCTION("IMPORTRANGE(""https://docs.google.com/spreadsheets/d/11923uPwbBZFjjGgGUA6NLw09EwE0CqkOc4q9oUmW1yo/edit?usp=sharing"",""เชียงใหม่!I487"")"),0)</f>
        <v>0</v>
      </c>
      <c r="J592" s="197">
        <f ca="1">IFERROR(__xludf.DUMMYFUNCTION("IMPORTRANGE(""https://docs.google.com/spreadsheets/d/11923uPwbBZFjjGgGUA6NLw09EwE0CqkOc4q9oUmW1yo/edit?usp=sharing"",""เชียงใหม่!J487"")"),4.83)</f>
        <v>4.83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IFERROR(__xludf.DUMMYFUNCTION("IMPORTRANGE(""https://docs.google.com/spreadsheets/d/11923uPwbBZFjjGgGUA6NLw09EwE0CqkOc4q9oUmW1yo/edit?usp=sharing"",""เชียงใหม่!I488"")"),30)</f>
        <v>30</v>
      </c>
      <c r="J593" s="197">
        <f ca="1">IFERROR(__xludf.DUMMYFUNCTION("IMPORTRANGE(""https://docs.google.com/spreadsheets/d/11923uPwbBZFjjGgGUA6NLw09EwE0CqkOc4q9oUmW1yo/edit?usp=sharing"",""เชียงใหม่!J488"")"),0)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IFERROR(__xludf.DUMMYFUNCTION("IMPORTRANGE(""https://docs.google.com/spreadsheets/d/11923uPwbBZFjjGgGUA6NLw09EwE0CqkOc4q9oUmW1yo/edit?usp=sharing"",""เชียงใหม่!I489"")"),0)</f>
        <v>0</v>
      </c>
      <c r="J594" s="197">
        <f ca="1">IFERROR(__xludf.DUMMYFUNCTION("IMPORTRANGE(""https://docs.google.com/spreadsheets/d/11923uPwbBZFjjGgGUA6NLw09EwE0CqkOc4q9oUmW1yo/edit?usp=sharing"",""เชียงใหม่!J489"")"),0)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IFERROR(__xludf.DUMMYFUNCTION("IMPORTRANGE(""https://docs.google.com/spreadsheets/d/11923uPwbBZFjjGgGUA6NLw09EwE0CqkOc4q9oUmW1yo/edit?usp=sharing"",""เชียงใหม่!I490"")"),30)</f>
        <v>30</v>
      </c>
      <c r="J595" s="197">
        <f ca="1">IFERROR(__xludf.DUMMYFUNCTION("IMPORTRANGE(""https://docs.google.com/spreadsheets/d/11923uPwbBZFjjGgGUA6NLw09EwE0CqkOc4q9oUmW1yo/edit?usp=sharing"",""เชียงใหม่!J490"")"),0)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IFERROR(__xludf.DUMMYFUNCTION("IMPORTRANGE(""https://docs.google.com/spreadsheets/d/11923uPwbBZFjjGgGUA6NLw09EwE0CqkOc4q9oUmW1yo/edit?usp=sharing"",""เชียงใหม่!I491"")"),0)</f>
        <v>0</v>
      </c>
      <c r="J596" s="250">
        <f ca="1">IFERROR(__xludf.DUMMYFUNCTION("IMPORTRANGE(""https://docs.google.com/spreadsheets/d/11923uPwbBZFjjGgGUA6NLw09EwE0CqkOc4q9oUmW1yo/edit?usp=sharing"",""เชียงใหม่!J491"")"),0)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IFERROR(__xludf.DUMMYFUNCTION("IMPORTRANGE(""https://docs.google.com/spreadsheets/d/11923uPwbBZFjjGgGUA6NLw09EwE0CqkOc4q9oUmW1yo/edit?usp=sharing"",""เชียงใหม่!I492"")"),100)</f>
        <v>100</v>
      </c>
      <c r="J597" s="495">
        <f ca="1">IFERROR(__xludf.DUMMYFUNCTION("IMPORTRANGE(""https://docs.google.com/spreadsheets/d/11923uPwbBZFjjGgGUA6NLw09EwE0CqkOc4q9oUmW1yo/edit?usp=sharing"",""เชียงใหม่!J492"")"),0)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IFERROR(__xludf.DUMMYFUNCTION("IMPORTRANGE(""https://docs.google.com/spreadsheets/d/11923uPwbBZFjjGgGUA6NLw09EwE0CqkOc4q9oUmW1yo/edit?usp=sharing"",""เชียงใหม่!L492"")"),10900)</f>
        <v>10900</v>
      </c>
      <c r="M597" s="420"/>
      <c r="N597" s="420">
        <f ca="1">IFERROR(__xludf.DUMMYFUNCTION("IMPORTRANGE(""https://docs.google.com/spreadsheets/d/11923uPwbBZFjjGgGUA6NLw09EwE0CqkOc4q9oUmW1yo/edit?usp=sharing"",""เชียงใหม่!M492"")"),2380)</f>
        <v>2380</v>
      </c>
      <c r="O597" s="420">
        <f t="shared" ref="O597:O601" ca="1" si="126">+IF(L597&gt;0,N597*100/L597,0)</f>
        <v>21.834862385321102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IFERROR(__xludf.DUMMYFUNCTION("IMPORTRANGE(""https://docs.google.com/spreadsheets/d/11923uPwbBZFjjGgGUA6NLw09EwE0CqkOc4q9oUmW1yo/edit?usp=sharing"",""เชียงใหม่!L493"")"),0)</f>
        <v>0</v>
      </c>
      <c r="M598" s="172"/>
      <c r="N598" s="178">
        <f ca="1">IFERROR(__xludf.DUMMYFUNCTION("IMPORTRANGE(""https://docs.google.com/spreadsheets/d/11923uPwbBZFjjGgGUA6NLw09EwE0CqkOc4q9oUmW1yo/edit?usp=sharing"",""เชียงใหม่!M493"")"),0)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IFERROR(__xludf.DUMMYFUNCTION("IMPORTRANGE(""https://docs.google.com/spreadsheets/d/11923uPwbBZFjjGgGUA6NLw09EwE0CqkOc4q9oUmW1yo/edit?usp=sharing"",""เชียงใหม่!L494"")"),10900)</f>
        <v>10900</v>
      </c>
      <c r="M599" s="173"/>
      <c r="N599" s="178">
        <f ca="1">IFERROR(__xludf.DUMMYFUNCTION("IMPORTRANGE(""https://docs.google.com/spreadsheets/d/11923uPwbBZFjjGgGUA6NLw09EwE0CqkOc4q9oUmW1yo/edit?usp=sharing"",""เชียงใหม่!M494"")"),2380)</f>
        <v>2380</v>
      </c>
      <c r="O599" s="178">
        <f t="shared" ca="1" si="126"/>
        <v>21.834862385321102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IFERROR(__xludf.DUMMYFUNCTION("IMPORTRANGE(""https://docs.google.com/spreadsheets/d/11923uPwbBZFjjGgGUA6NLw09EwE0CqkOc4q9oUmW1yo/edit?usp=sharing"",""เชียงใหม่!L495"")"),0)</f>
        <v>0</v>
      </c>
      <c r="M600" s="178"/>
      <c r="N600" s="178">
        <f ca="1">IFERROR(__xludf.DUMMYFUNCTION("IMPORTRANGE(""https://docs.google.com/spreadsheets/d/11923uPwbBZFjjGgGUA6NLw09EwE0CqkOc4q9oUmW1yo/edit?usp=sharing"",""เชียงใหม่!M495"")"),0)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IFERROR(__xludf.DUMMYFUNCTION("IMPORTRANGE(""https://docs.google.com/spreadsheets/d/11923uPwbBZFjjGgGUA6NLw09EwE0CqkOc4q9oUmW1yo/edit?usp=sharing"",""เชียงใหม่!L496"")"),10900)</f>
        <v>10900</v>
      </c>
      <c r="M601" s="178"/>
      <c r="N601" s="178">
        <f ca="1">IFERROR(__xludf.DUMMYFUNCTION("IMPORTRANGE(""https://docs.google.com/spreadsheets/d/11923uPwbBZFjjGgGUA6NLw09EwE0CqkOc4q9oUmW1yo/edit?usp=sharing"",""เชียงใหม่!M496"")"),2380)</f>
        <v>2380</v>
      </c>
      <c r="O601" s="178">
        <f t="shared" ca="1" si="126"/>
        <v>21.834862385321102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IFERROR(__xludf.DUMMYFUNCTION("IMPORTRANGE(""https://docs.google.com/spreadsheets/d/11923uPwbBZFjjGgGUA6NLw09EwE0CqkOc4q9oUmW1yo/edit?usp=sharing"",""เชียงใหม่!M497"")"),0)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IFERROR(__xludf.DUMMYFUNCTION("IMPORTRANGE(""https://docs.google.com/spreadsheets/d/11923uPwbBZFjjGgGUA6NLw09EwE0CqkOc4q9oUmW1yo/edit?usp=sharing"",""เชียงใหม่!M498"")"),0)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IFERROR(__xludf.DUMMYFUNCTION("IMPORTRANGE(""https://docs.google.com/spreadsheets/d/11923uPwbBZFjjGgGUA6NLw09EwE0CqkOc4q9oUmW1yo/edit?usp=sharing"",""เชียงใหม่!M499"")"),0)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IFERROR(__xludf.DUMMYFUNCTION("IMPORTRANGE(""https://docs.google.com/spreadsheets/d/11923uPwbBZFjjGgGUA6NLw09EwE0CqkOc4q9oUmW1yo/edit?usp=sharing"",""เชียงใหม่!M500"")"),2380)</f>
        <v>2380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IFERROR(__xludf.DUMMYFUNCTION("IMPORTRANGE(""https://docs.google.com/spreadsheets/d/11923uPwbBZFjjGgGUA6NLw09EwE0CqkOc4q9oUmW1yo/edit?usp=sharing"",""เชียงใหม่!J502"")"),0)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IFERROR(__xludf.DUMMYFUNCTION("IMPORTRANGE(""https://docs.google.com/spreadsheets/d/11923uPwbBZFjjGgGUA6NLw09EwE0CqkOc4q9oUmW1yo/edit?usp=sharing"",""เชียงใหม่!J503"")"),1)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IFERROR(__xludf.DUMMYFUNCTION("IMPORTRANGE(""https://docs.google.com/spreadsheets/d/11923uPwbBZFjjGgGUA6NLw09EwE0CqkOc4q9oUmW1yo/edit?usp=sharing"",""เชียงใหม่!J166"")"),0)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IFERROR(__xludf.DUMMYFUNCTION("IMPORTRANGE(""https://docs.google.com/spreadsheets/d/11923uPwbBZFjjGgGUA6NLw09EwE0CqkOc4q9oUmW1yo/edit?usp=sharing"",""เชียงใหม่!J166"")"),0)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IFERROR(__xludf.DUMMYFUNCTION("IMPORTRANGE(""https://docs.google.com/spreadsheets/d/11923uPwbBZFjjGgGUA6NLw09EwE0CqkOc4q9oUmW1yo/edit?usp=sharing"",""เชียงใหม่!I506"")"),100)</f>
        <v>100</v>
      </c>
      <c r="J611" s="170">
        <f ca="1">IFERROR(__xludf.DUMMYFUNCTION("IMPORTRANGE(""https://docs.google.com/spreadsheets/d/11923uPwbBZFjjGgGUA6NLw09EwE0CqkOc4q9oUmW1yo/edit?usp=sharing"",""เชียงใหม่!J506"")"),0)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IFERROR(__xludf.DUMMYFUNCTION("IMPORTRANGE(""https://docs.google.com/spreadsheets/d/11923uPwbBZFjjGgGUA6NLw09EwE0CqkOc4q9oUmW1yo/edit?usp=sharing"",""เชียงใหม่!I507"")"),0)</f>
        <v>0</v>
      </c>
      <c r="J612" s="207">
        <f ca="1">IFERROR(__xludf.DUMMYFUNCTION("IMPORTRANGE(""https://docs.google.com/spreadsheets/d/11923uPwbBZFjjGgGUA6NLw09EwE0CqkOc4q9oUmW1yo/edit?usp=sharing"",""เชียงใหม่!J507"")"),110.75)</f>
        <v>110.75</v>
      </c>
      <c r="K612" s="171">
        <f t="shared" ca="1" si="127"/>
        <v>110.75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IFERROR(__xludf.DUMMYFUNCTION("IMPORTRANGE(""https://docs.google.com/spreadsheets/d/11923uPwbBZFjjGgGUA6NLw09EwE0CqkOc4q9oUmW1yo/edit?usp=sharing"",""เชียงใหม่!I508"")"),0)</f>
        <v>0</v>
      </c>
      <c r="J613" s="207">
        <f ca="1">IFERROR(__xludf.DUMMYFUNCTION("IMPORTRANGE(""https://docs.google.com/spreadsheets/d/11923uPwbBZFjjGgGUA6NLw09EwE0CqkOc4q9oUmW1yo/edit?usp=sharing"",""เชียงใหม่!J508"")"),0)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IFERROR(__xludf.DUMMYFUNCTION("IMPORTRANGE(""https://docs.google.com/spreadsheets/d/11923uPwbBZFjjGgGUA6NLw09EwE0CqkOc4q9oUmW1yo/edit?usp=sharing"",""เชียงใหม่!I509"")"),0)</f>
        <v>0</v>
      </c>
      <c r="J614" s="207">
        <f ca="1">IFERROR(__xludf.DUMMYFUNCTION("IMPORTRANGE(""https://docs.google.com/spreadsheets/d/11923uPwbBZFjjGgGUA6NLw09EwE0CqkOc4q9oUmW1yo/edit?usp=sharing"",""เชียงใหม่!J509"")"),0)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IFERROR(__xludf.DUMMYFUNCTION("IMPORTRANGE(""https://docs.google.com/spreadsheets/d/11923uPwbBZFjjGgGUA6NLw09EwE0CqkOc4q9oUmW1yo/edit?usp=sharing"",""เชียงใหม่!I510"")"),0)</f>
        <v>0</v>
      </c>
      <c r="J615" s="207">
        <f ca="1">IFERROR(__xludf.DUMMYFUNCTION("IMPORTRANGE(""https://docs.google.com/spreadsheets/d/11923uPwbBZFjjGgGUA6NLw09EwE0CqkOc4q9oUmW1yo/edit?usp=sharing"",""เชียงใหม่!J510"")"),0)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IFERROR(__xludf.DUMMYFUNCTION("IMPORTRANGE(""https://docs.google.com/spreadsheets/d/11923uPwbBZFjjGgGUA6NLw09EwE0CqkOc4q9oUmW1yo/edit?usp=sharing"",""เชียงใหม่!I511"")"),0)</f>
        <v>0</v>
      </c>
      <c r="J616" s="207">
        <f ca="1">IFERROR(__xludf.DUMMYFUNCTION("IMPORTRANGE(""https://docs.google.com/spreadsheets/d/11923uPwbBZFjjGgGUA6NLw09EwE0CqkOc4q9oUmW1yo/edit?usp=sharing"",""เชียงใหม่!J511"")"),0)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IFERROR(__xludf.DUMMYFUNCTION("IMPORTRANGE(""https://docs.google.com/spreadsheets/d/11923uPwbBZFjjGgGUA6NLw09EwE0CqkOc4q9oUmW1yo/edit?usp=sharing"",""เชียงใหม่!I512"")"),0)</f>
        <v>0</v>
      </c>
      <c r="J617" s="197">
        <f ca="1">IFERROR(__xludf.DUMMYFUNCTION("IMPORTRANGE(""https://docs.google.com/spreadsheets/d/11923uPwbBZFjjGgGUA6NLw09EwE0CqkOc4q9oUmW1yo/edit?usp=sharing"",""เชียงใหม่!J512"")"),0)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IFERROR(__xludf.DUMMYFUNCTION("IMPORTRANGE(""https://docs.google.com/spreadsheets/d/11923uPwbBZFjjGgGUA6NLw09EwE0CqkOc4q9oUmW1yo/edit?usp=sharing"",""เชียงใหม่!I513"")"),0)</f>
        <v>0</v>
      </c>
      <c r="J618" s="198">
        <f ca="1">IFERROR(__xludf.DUMMYFUNCTION("IMPORTRANGE(""https://docs.google.com/spreadsheets/d/11923uPwbBZFjjGgGUA6NLw09EwE0CqkOc4q9oUmW1yo/edit?usp=sharing"",""เชียงใหม่!J513"")"),0)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IFERROR(__xludf.DUMMYFUNCTION("IMPORTRANGE(""https://docs.google.com/spreadsheets/d/11923uPwbBZFjjGgGUA6NLw09EwE0CqkOc4q9oUmW1yo/edit?usp=sharing"",""เชียงใหม่!I514"")"),0)</f>
        <v>0</v>
      </c>
      <c r="J619" s="198">
        <f ca="1">IFERROR(__xludf.DUMMYFUNCTION("IMPORTRANGE(""https://docs.google.com/spreadsheets/d/11923uPwbBZFjjGgGUA6NLw09EwE0CqkOc4q9oUmW1yo/edit?usp=sharing"",""เชียงใหม่!J514"")"),0)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IFERROR(__xludf.DUMMYFUNCTION("IMPORTRANGE(""https://docs.google.com/spreadsheets/d/11923uPwbBZFjjGgGUA6NLw09EwE0CqkOc4q9oUmW1yo/edit?usp=sharing"",""เชียงใหม่!I515"")"),100)</f>
        <v>100</v>
      </c>
      <c r="J620" s="212">
        <f ca="1">IFERROR(__xludf.DUMMYFUNCTION("IMPORTRANGE(""https://docs.google.com/spreadsheets/d/11923uPwbBZFjjGgGUA6NLw09EwE0CqkOc4q9oUmW1yo/edit?usp=sharing"",""เชียงใหม่!J515"")"),0)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IFERROR(__xludf.DUMMYFUNCTION("IMPORTRANGE(""https://docs.google.com/spreadsheets/d/11923uPwbBZFjjGgGUA6NLw09EwE0CqkOc4q9oUmW1yo/edit?usp=sharing"",""เชียงใหม่!I516"")"),0)</f>
        <v>0</v>
      </c>
      <c r="J621" s="212">
        <f ca="1">IFERROR(__xludf.DUMMYFUNCTION("IMPORTRANGE(""https://docs.google.com/spreadsheets/d/11923uPwbBZFjjGgGUA6NLw09EwE0CqkOc4q9oUmW1yo/edit?usp=sharing"",""เชียงใหม่!J516"")"),0)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IFERROR(__xludf.DUMMYFUNCTION("IMPORTRANGE(""https://docs.google.com/spreadsheets/d/11923uPwbBZFjjGgGUA6NLw09EwE0CqkOc4q9oUmW1yo/edit?usp=sharing"",""เชียงใหม่!I517"")"),0)</f>
        <v>0</v>
      </c>
      <c r="J622" s="198">
        <f ca="1">IFERROR(__xludf.DUMMYFUNCTION("IMPORTRANGE(""https://docs.google.com/spreadsheets/d/11923uPwbBZFjjGgGUA6NLw09EwE0CqkOc4q9oUmW1yo/edit?usp=sharing"",""เชียงใหม่!J517"")"),0)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IFERROR(__xludf.DUMMYFUNCTION("IMPORTRANGE(""https://docs.google.com/spreadsheets/d/11923uPwbBZFjjGgGUA6NLw09EwE0CqkOc4q9oUmW1yo/edit?usp=sharing"",""เชียงใหม่!I518"")"),0)</f>
        <v>0</v>
      </c>
      <c r="J623" s="198">
        <f ca="1">IFERROR(__xludf.DUMMYFUNCTION("IMPORTRANGE(""https://docs.google.com/spreadsheets/d/11923uPwbBZFjjGgGUA6NLw09EwE0CqkOc4q9oUmW1yo/edit?usp=sharing"",""เชียงใหม่!J518"")"),0)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IFERROR(__xludf.DUMMYFUNCTION("IMPORTRANGE(""https://docs.google.com/spreadsheets/d/11923uPwbBZFjjGgGUA6NLw09EwE0CqkOc4q9oUmW1yo/edit?usp=sharing"",""เชียงใหม่!I519"")"),0)</f>
        <v>0</v>
      </c>
      <c r="J624" s="197">
        <f ca="1">IFERROR(__xludf.DUMMYFUNCTION("IMPORTRANGE(""https://docs.google.com/spreadsheets/d/11923uPwbBZFjjGgGUA6NLw09EwE0CqkOc4q9oUmW1yo/edit?usp=sharing"",""เชียงใหม่!J519"")"),100)</f>
        <v>100</v>
      </c>
      <c r="K624" s="171">
        <f t="shared" ca="1" si="128"/>
        <v>100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IFERROR(__xludf.DUMMYFUNCTION("IMPORTRANGE(""https://docs.google.com/spreadsheets/d/11923uPwbBZFjjGgGUA6NLw09EwE0CqkOc4q9oUmW1yo/edit?usp=sharing"",""เชียงใหม่!I520"")"),0)</f>
        <v>0</v>
      </c>
      <c r="J625" s="198">
        <f ca="1">IFERROR(__xludf.DUMMYFUNCTION("IMPORTRANGE(""https://docs.google.com/spreadsheets/d/11923uPwbBZFjjGgGUA6NLw09EwE0CqkOc4q9oUmW1yo/edit?usp=sharing"",""เชียงใหม่!J520"")"),0)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IFERROR(__xludf.DUMMYFUNCTION("IMPORTRANGE(""https://docs.google.com/spreadsheets/d/11923uPwbBZFjjGgGUA6NLw09EwE0CqkOc4q9oUmW1yo/edit?usp=sharing"",""เชียงใหม่!I521"")"),0)</f>
        <v>0</v>
      </c>
      <c r="J626" s="198">
        <f ca="1">IFERROR(__xludf.DUMMYFUNCTION("IMPORTRANGE(""https://docs.google.com/spreadsheets/d/11923uPwbBZFjjGgGUA6NLw09EwE0CqkOc4q9oUmW1yo/edit?usp=sharing"",""เชียงใหม่!J521"")"),100)</f>
        <v>100</v>
      </c>
      <c r="K626" s="171">
        <f t="shared" ca="1" si="128"/>
        <v>100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IFERROR(__xludf.DUMMYFUNCTION("IMPORTRANGE(""https://docs.google.com/spreadsheets/d/11923uPwbBZFjjGgGUA6NLw09EwE0CqkOc4q9oUmW1yo/edit?usp=sharing"",""เชียงใหม่!I523"")"),2948302.07)</f>
        <v>2948302.07</v>
      </c>
      <c r="J628" s="349">
        <f ca="1">IFERROR(__xludf.DUMMYFUNCTION("IMPORTRANGE(""https://docs.google.com/spreadsheets/d/11923uPwbBZFjjGgGUA6NLw09EwE0CqkOc4q9oUmW1yo/edit?usp=sharing"",""เชียงใหม่!J523"")"),666000)</f>
        <v>666000</v>
      </c>
      <c r="K628" s="350">
        <f t="shared" ref="K628:K635" ca="1" si="129">IF(I628&gt;0,J628*100/I628,0)</f>
        <v>22.589272882747732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IFERROR(__xludf.DUMMYFUNCTION("IMPORTRANGE(""https://docs.google.com/spreadsheets/d/11923uPwbBZFjjGgGUA6NLw09EwE0CqkOc4q9oUmW1yo/edit?usp=sharing"",""เชียงใหม่!I524"")"),159)</f>
        <v>159</v>
      </c>
      <c r="J629" s="349">
        <f ca="1">IFERROR(__xludf.DUMMYFUNCTION("IMPORTRANGE(""https://docs.google.com/spreadsheets/d/11923uPwbBZFjjGgGUA6NLw09EwE0CqkOc4q9oUmW1yo/edit?usp=sharing"",""เชียงใหม่!J524"")"),34)</f>
        <v>34</v>
      </c>
      <c r="K629" s="350">
        <f t="shared" ca="1" si="129"/>
        <v>21.383647798742139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49">
        <f ca="1">IFERROR(__xludf.DUMMYFUNCTION("IMPORTRANGE(""https://docs.google.com/spreadsheets/d/11923uPwbBZFjjGgGUA6NLw09EwE0CqkOc4q9oUmW1yo/edit?usp=sharing"",""เชียงใหม่!J525"")"),14297.04)</f>
        <v>14297.04</v>
      </c>
      <c r="K630" s="350">
        <f t="shared" ca="1" si="129"/>
        <v>2.2450952845326433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IFERROR(__xludf.DUMMYFUNCTION("IMPORTRANGE(""https://docs.google.com/spreadsheets/d/11923uPwbBZFjjGgGUA6NLw09EwE0CqkOc4q9oUmW1yo/edit?usp=sharing"",""เชียงใหม่!I526"")"),41)</f>
        <v>41</v>
      </c>
      <c r="J631" s="349">
        <f ca="1">IFERROR(__xludf.DUMMYFUNCTION("IMPORTRANGE(""https://docs.google.com/spreadsheets/d/11923uPwbBZFjjGgGUA6NLw09EwE0CqkOc4q9oUmW1yo/edit?usp=sharing"",""เชียงใหม่!J526"")"),8)</f>
        <v>8</v>
      </c>
      <c r="K631" s="350">
        <f t="shared" ca="1" si="129"/>
        <v>19.512195121951219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49">
        <f ca="1">IFERROR(__xludf.DUMMYFUNCTION("IMPORTRANGE(""https://docs.google.com/spreadsheets/d/11923uPwbBZFjjGgGUA6NLw09EwE0CqkOc4q9oUmW1yo/edit?usp=sharing"",""เชียงใหม่!J527"")"),4172.1)</f>
        <v>4172.1000000000004</v>
      </c>
      <c r="K632" s="350">
        <f t="shared" ca="1" si="129"/>
        <v>4.1365307989658531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IFERROR(__xludf.DUMMYFUNCTION("IMPORTRANGE(""https://docs.google.com/spreadsheets/d/11923uPwbBZFjjGgGUA6NLw09EwE0CqkOc4q9oUmW1yo/edit?usp=sharing"",""เชียงใหม่!I528"")"),23)</f>
        <v>23</v>
      </c>
      <c r="J633" s="349">
        <f ca="1">IFERROR(__xludf.DUMMYFUNCTION("IMPORTRANGE(""https://docs.google.com/spreadsheets/d/11923uPwbBZFjjGgGUA6NLw09EwE0CqkOc4q9oUmW1yo/edit?usp=sharing"",""เชียงใหม่!J528"")"),4)</f>
        <v>4</v>
      </c>
      <c r="K633" s="350">
        <f t="shared" ca="1" si="129"/>
        <v>17.391304347826086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IFERROR(__xludf.DUMMYFUNCTION("IMPORTRANGE(""https://docs.google.com/spreadsheets/d/11923uPwbBZFjjGgGUA6NLw09EwE0CqkOc4q9oUmW1yo/edit?usp=sharing"",""เชียงใหม่!I529"")"),1890000)</f>
        <v>1890000</v>
      </c>
      <c r="J634" s="349">
        <f ca="1">IFERROR(__xludf.DUMMYFUNCTION("IMPORTRANGE(""https://docs.google.com/spreadsheets/d/11923uPwbBZFjjGgGUA6NLw09EwE0CqkOc4q9oUmW1yo/edit?usp=sharing"",""เชียงใหม่!J529"")"),210000)</f>
        <v>210000</v>
      </c>
      <c r="K634" s="350">
        <f t="shared" ca="1" si="129"/>
        <v>11.111111111111111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IFERROR(__xludf.DUMMYFUNCTION("IMPORTRANGE(""https://docs.google.com/spreadsheets/d/11923uPwbBZFjjGgGUA6NLw09EwE0CqkOc4q9oUmW1yo/edit?usp=sharing"",""เชียงใหม่!I530"")"),63)</f>
        <v>63</v>
      </c>
      <c r="J635" s="519">
        <f ca="1">IFERROR(__xludf.DUMMYFUNCTION("IMPORTRANGE(""https://docs.google.com/spreadsheets/d/11923uPwbBZFjjGgGUA6NLw09EwE0CqkOc4q9oUmW1yo/edit?usp=sharing"",""เชียงใหม่!J530"")"),8)</f>
        <v>8</v>
      </c>
      <c r="K635" s="494">
        <f t="shared" ca="1" si="129"/>
        <v>12.698412698412698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9" sqref="J9"/>
      <selection pane="bottomLeft" activeCell="K558" sqref="K558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33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244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4713928</v>
      </c>
      <c r="M8" s="25">
        <f t="shared" ca="1" si="0"/>
        <v>1452360</v>
      </c>
      <c r="N8" s="25">
        <f t="shared" ca="1" si="0"/>
        <v>1471994</v>
      </c>
      <c r="O8" s="24">
        <f t="shared" ref="O8:O16" ca="1" si="1">IF(L8&gt;0,N8*100/L8,0)</f>
        <v>31.226484579314747</v>
      </c>
      <c r="P8" s="24">
        <f t="shared" ref="P8:P16" ca="1" si="2">IF(M8&gt;0,N8*100/M8,0)</f>
        <v>101.35186868269575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4713928</v>
      </c>
      <c r="M10" s="32">
        <f t="shared" ca="1" si="4"/>
        <v>1452360</v>
      </c>
      <c r="N10" s="32">
        <f t="shared" ca="1" si="4"/>
        <v>1471994</v>
      </c>
      <c r="O10" s="31">
        <f t="shared" ca="1" si="1"/>
        <v>31.226484579314747</v>
      </c>
      <c r="P10" s="31">
        <f t="shared" ca="1" si="2"/>
        <v>101.35186868269575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4453328</v>
      </c>
      <c r="M12" s="40">
        <f t="shared" ca="1" si="6"/>
        <v>1452360</v>
      </c>
      <c r="N12" s="40">
        <f t="shared" ca="1" si="6"/>
        <v>1241374</v>
      </c>
      <c r="O12" s="40">
        <f t="shared" ca="1" si="1"/>
        <v>27.875198054129406</v>
      </c>
      <c r="P12" s="40">
        <f t="shared" ca="1" si="2"/>
        <v>85.4728855104795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1854900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2598428</v>
      </c>
      <c r="M14" s="40">
        <f t="shared" si="8"/>
        <v>0</v>
      </c>
      <c r="N14" s="40">
        <f t="shared" ca="1" si="8"/>
        <v>276429</v>
      </c>
      <c r="O14" s="43">
        <f t="shared" ca="1" si="1"/>
        <v>10.63831670533107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260600</v>
      </c>
      <c r="M16" s="40">
        <f t="shared" si="10"/>
        <v>0</v>
      </c>
      <c r="N16" s="40">
        <f t="shared" ca="1" si="10"/>
        <v>230620</v>
      </c>
      <c r="O16" s="52">
        <f t="shared" ca="1" si="1"/>
        <v>88.495778971603997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2925700</v>
      </c>
      <c r="M18" s="25">
        <f t="shared" ca="1" si="11"/>
        <v>1452360</v>
      </c>
      <c r="N18" s="25">
        <f t="shared" ca="1" si="11"/>
        <v>1195565</v>
      </c>
      <c r="O18" s="24">
        <f t="shared" ref="O18:O20" ca="1" si="12">IF(L18&gt;0,N18*100/L18,0)</f>
        <v>40.864237618347744</v>
      </c>
      <c r="P18" s="24">
        <f t="shared" ref="P18:P26" ca="1" si="13">IF(M18&gt;0,N18*100/M18,0)</f>
        <v>82.31877771351455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2925700</v>
      </c>
      <c r="M20" s="32">
        <f t="shared" ca="1" si="15"/>
        <v>1452360</v>
      </c>
      <c r="N20" s="32">
        <f t="shared" ca="1" si="15"/>
        <v>1195565</v>
      </c>
      <c r="O20" s="31">
        <f t="shared" ca="1" si="12"/>
        <v>40.864237618347744</v>
      </c>
      <c r="P20" s="31">
        <f t="shared" ca="1" si="13"/>
        <v>82.31877771351455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2665100</v>
      </c>
      <c r="M22" s="44">
        <f t="shared" ca="1" si="18"/>
        <v>1452360</v>
      </c>
      <c r="N22" s="43">
        <f t="shared" ca="1" si="18"/>
        <v>964945</v>
      </c>
      <c r="O22" s="43">
        <f t="shared" ca="1" si="17"/>
        <v>36.20670894150313</v>
      </c>
      <c r="P22" s="43">
        <f t="shared" ca="1" si="13"/>
        <v>66.439794541298298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1854900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810200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260600</v>
      </c>
      <c r="M26" s="52">
        <f t="shared" si="22"/>
        <v>0</v>
      </c>
      <c r="N26" s="52">
        <f t="shared" ca="1" si="22"/>
        <v>230620</v>
      </c>
      <c r="O26" s="52">
        <f t="shared" ca="1" si="17"/>
        <v>88.495778971603997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1788228</v>
      </c>
      <c r="M28" s="25">
        <f t="shared" si="23"/>
        <v>0</v>
      </c>
      <c r="N28" s="25">
        <f t="shared" ca="1" si="23"/>
        <v>276429</v>
      </c>
      <c r="O28" s="24">
        <f t="shared" ref="O28:O30" ca="1" si="24">IF(L28&gt;0,N28*100/L28,0)</f>
        <v>15.458263711338823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1788228</v>
      </c>
      <c r="M30" s="32">
        <f t="shared" si="27"/>
        <v>0</v>
      </c>
      <c r="N30" s="32">
        <f t="shared" ca="1" si="27"/>
        <v>276429</v>
      </c>
      <c r="O30" s="31">
        <f t="shared" ca="1" si="24"/>
        <v>15.458263711338823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1788228</v>
      </c>
      <c r="M32" s="43">
        <f t="shared" si="30"/>
        <v>0</v>
      </c>
      <c r="N32" s="43">
        <f t="shared" ca="1" si="30"/>
        <v>276429</v>
      </c>
      <c r="O32" s="43">
        <f t="shared" ca="1" si="29"/>
        <v>15.458263711338823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1788228</v>
      </c>
      <c r="M34" s="43">
        <f t="shared" si="32"/>
        <v>0</v>
      </c>
      <c r="N34" s="43">
        <f t="shared" ca="1" si="32"/>
        <v>276429</v>
      </c>
      <c r="O34" s="43">
        <f t="shared" ca="1" si="29"/>
        <v>15.458263711338823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2925700</v>
      </c>
      <c r="M37" s="57">
        <f t="shared" ca="1" si="33"/>
        <v>1452360</v>
      </c>
      <c r="N37" s="57">
        <f t="shared" ca="1" si="33"/>
        <v>1195565</v>
      </c>
      <c r="O37" s="58">
        <f t="shared" ca="1" si="29"/>
        <v>40.864237618347744</v>
      </c>
      <c r="P37" s="58">
        <f t="shared" ca="1" si="25"/>
        <v>82.31877771351455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694100</v>
      </c>
      <c r="M41" s="81">
        <f t="shared" ca="1" si="34"/>
        <v>347100</v>
      </c>
      <c r="N41" s="81">
        <f t="shared" ca="1" si="34"/>
        <v>225114</v>
      </c>
      <c r="O41" s="80">
        <f t="shared" ref="O41:O43" ca="1" si="35">IF(L41&gt;0,N41*100/L41,0)</f>
        <v>32.432502521250541</v>
      </c>
      <c r="P41" s="80">
        <f t="shared" ref="P41:P43" ca="1" si="36">IF(M41&gt;0,N41*100/M41,0)</f>
        <v>64.855661192739845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694100</v>
      </c>
      <c r="M43" s="81">
        <f t="shared" ca="1" si="38"/>
        <v>347100</v>
      </c>
      <c r="N43" s="81">
        <f t="shared" ca="1" si="38"/>
        <v>225114</v>
      </c>
      <c r="O43" s="80">
        <f t="shared" ca="1" si="35"/>
        <v>32.432502521250541</v>
      </c>
      <c r="P43" s="80">
        <f t="shared" ca="1" si="36"/>
        <v>64.855661192739845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694100</v>
      </c>
      <c r="M45" s="93">
        <f ca="1">IFERROR(__xludf.DUMMYFUNCTION("IMPORTRANGE(""https://docs.google.com/spreadsheets/d/1Yj_ptqi66GCucihVvJfMjLAmec39IyEx_6qawtMGysU/edit?usp=sharing"",""สบก!Q23"")"),347100)</f>
        <v>347100</v>
      </c>
      <c r="N45" s="93">
        <f ca="1">IFERROR(__xludf.DUMMYFUNCTION("IMPORTRANGE(""https://docs.google.com/spreadsheets/d/1Yj_ptqi66GCucihVvJfMjLAmec39IyEx_6qawtMGysU/edit?usp=sharing"",""สบก!R23"")"),225114)</f>
        <v>225114</v>
      </c>
      <c r="O45" s="94">
        <f ca="1">IF(L45&gt;0,N45*100/L45,0)</f>
        <v>32.432502521250541</v>
      </c>
      <c r="P45" s="94">
        <f ca="1">IF(M45&gt;0,N45*100/M45,0)</f>
        <v>64.855661192739845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IFERROR(__xludf.DUMMYFUNCTION("IMPORTRANGE(""https://docs.google.com/spreadsheets/d/1Yj_ptqi66GCucihVvJfMjLAmec39IyEx_6qawtMGysU/edit?usp=sharing"",""สบก!M23"")"),694100)</f>
        <v>694100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IFERROR(__xludf.DUMMYFUNCTION("IMPORTRANGE(""https://docs.google.com/spreadsheets/d/1Yj_ptqi66GCucihVvJfMjLAmec39IyEx_6qawtMGysU/edit?usp=sharing"",""สบก!N23"")"),0)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IFERROR(__xludf.DUMMYFUNCTION("IMPORTRANGE(""https://docs.google.com/spreadsheets/d/1Yj_ptqi66GCucihVvJfMjLAmec39IyEx_6qawtMGysU/edit?usp=sharing"",""สบก!O23"")"),0)</f>
        <v>0</v>
      </c>
      <c r="M49" s="103"/>
      <c r="N49" s="93">
        <f ca="1">IFERROR(__xludf.DUMMYFUNCTION("IMPORTRANGE(""https://docs.google.com/spreadsheets/d/1Yj_ptqi66GCucihVvJfMjLAmec39IyEx_6qawtMGysU/edit?usp=sharing"",""สบก!S23"")"),0)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400000</v>
      </c>
      <c r="M53" s="127">
        <f t="shared" ca="1" si="39"/>
        <v>218000</v>
      </c>
      <c r="N53" s="127">
        <f t="shared" ca="1" si="39"/>
        <v>147210</v>
      </c>
      <c r="O53" s="126">
        <f t="shared" ref="O53:O55" ca="1" si="40">IF(L53&gt;0,N53*100/L53,0)</f>
        <v>36.802500000000002</v>
      </c>
      <c r="P53" s="126">
        <f t="shared" ref="P53:P55" ca="1" si="41">IF(M53&gt;0,N53*100/M53,0)</f>
        <v>67.527522935779814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400000</v>
      </c>
      <c r="M55" s="127">
        <f t="shared" ca="1" si="43"/>
        <v>218000</v>
      </c>
      <c r="N55" s="127">
        <f t="shared" ca="1" si="43"/>
        <v>147210</v>
      </c>
      <c r="O55" s="126">
        <f t="shared" ca="1" si="40"/>
        <v>36.802500000000002</v>
      </c>
      <c r="P55" s="126">
        <f t="shared" ca="1" si="41"/>
        <v>67.527522935779814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400000</v>
      </c>
      <c r="M57" s="93">
        <f ca="1">IFERROR(__xludf.DUMMYFUNCTION("IMPORTRANGE(""https://docs.google.com/spreadsheets/d/1Yj_ptqi66GCucihVvJfMjLAmec39IyEx_6qawtMGysU/edit?usp=sharing"",""สบก!Z23"")"),218000)</f>
        <v>218000</v>
      </c>
      <c r="N57" s="93">
        <f ca="1">IFERROR(__xludf.DUMMYFUNCTION("IMPORTRANGE(""https://docs.google.com/spreadsheets/d/1Yj_ptqi66GCucihVvJfMjLAmec39IyEx_6qawtMGysU/edit?usp=sharing"",""สบก!AA23"")"),147210)</f>
        <v>147210</v>
      </c>
      <c r="O57" s="94">
        <f ca="1">IF(L57&gt;0,N57*100/L57,0)</f>
        <v>36.802500000000002</v>
      </c>
      <c r="P57" s="94">
        <f ca="1">IF(M57&gt;0,N57*100/M57,0)</f>
        <v>67.527522935779814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IFERROR(__xludf.DUMMYFUNCTION("IMPORTRANGE(""https://docs.google.com/spreadsheets/d/1Yj_ptqi66GCucihVvJfMjLAmec39IyEx_6qawtMGysU/edit?usp=sharing"",""สบก!V23"")"),400000)</f>
        <v>400000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IFERROR(__xludf.DUMMYFUNCTION("IMPORTRANGE(""https://docs.google.com/spreadsheets/d/1Yj_ptqi66GCucihVvJfMjLAmec39IyEx_6qawtMGysU/edit?usp=sharing"",""สบก!W23"")"),0)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IFERROR(__xludf.DUMMYFUNCTION("IMPORTRANGE(""https://docs.google.com/spreadsheets/d/1Yj_ptqi66GCucihVvJfMjLAmec39IyEx_6qawtMGysU/edit?usp=sharing"",""สบก!X23"")"),0)</f>
        <v>0</v>
      </c>
      <c r="M61" s="103"/>
      <c r="N61" s="93">
        <f ca="1">IFERROR(__xludf.DUMMYFUNCTION("IMPORTRANGE(""https://docs.google.com/spreadsheets/d/1Yj_ptqi66GCucihVvJfMjLAmec39IyEx_6qawtMGysU/edit?usp=sharing"",""สบก!AB23"")"),0)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IFERROR(__xludf.DUMMYFUNCTION("IMPORTRANGE(""https://docs.google.com/spreadsheets/d/11923uPwbBZFjjGgGUA6NLw09EwE0CqkOc4q9oUmW1yo/edit?usp=sharing"",""ตาก!I9"")"),0)</f>
        <v>0</v>
      </c>
      <c r="J64" s="148">
        <f ca="1">IFERROR(__xludf.DUMMYFUNCTION("IMPORTRANGE(""https://docs.google.com/spreadsheets/d/11923uPwbBZFjjGgGUA6NLw09EwE0CqkOc4q9oUmW1yo/edit?usp=sharing"",""ตาก!J9"")"),0)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IFERROR(__xludf.DUMMYFUNCTION("IMPORTRANGE(""https://docs.google.com/spreadsheets/d/11923uPwbBZFjjGgGUA6NLw09EwE0CqkOc4q9oUmW1yo/edit?usp=sharing"",""ตาก!I10"")"),0)</f>
        <v>0</v>
      </c>
      <c r="J65" s="148">
        <f ca="1">IFERROR(__xludf.DUMMYFUNCTION("IMPORTRANGE(""https://docs.google.com/spreadsheets/d/11923uPwbBZFjjGgGUA6NLw09EwE0CqkOc4q9oUmW1yo/edit?usp=sharing"",""ตาก!J10"")"),0)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IFERROR(__xludf.DUMMYFUNCTION("IMPORTRANGE(""https://docs.google.com/spreadsheets/d/1Yj_ptqi66GCucihVvJfMjLAmec39IyEx_6qawtMGysU/edit?usp=sharing"",""สบก!AI23"")"),0)</f>
        <v>0</v>
      </c>
      <c r="N70" s="177">
        <f ca="1">IFERROR(__xludf.DUMMYFUNCTION("IMPORTRANGE(""https://docs.google.com/spreadsheets/d/1Yj_ptqi66GCucihVvJfMjLAmec39IyEx_6qawtMGysU/edit?usp=sharing"",""สบก!AJ23"")"),0)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IFERROR(__xludf.DUMMYFUNCTION("IMPORTRANGE(""https://docs.google.com/spreadsheets/d/1Yj_ptqi66GCucihVvJfMjLAmec39IyEx_6qawtMGysU/edit?usp=sharing"",""สบก!AE23"")"),0)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IFERROR(__xludf.DUMMYFUNCTION("IMPORTRANGE(""https://docs.google.com/spreadsheets/d/1Yj_ptqi66GCucihVvJfMjLAmec39IyEx_6qawtMGysU/edit?usp=sharing"",""สบก!AF23"")"),0)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IFERROR(__xludf.DUMMYFUNCTION("IMPORTRANGE(""https://docs.google.com/spreadsheets/d/1Yj_ptqi66GCucihVvJfMjLAmec39IyEx_6qawtMGysU/edit?usp=sharing"",""สบก!AG23"")"),0)</f>
        <v>0</v>
      </c>
      <c r="M74" s="103"/>
      <c r="N74" s="93">
        <f ca="1">IFERROR(__xludf.DUMMYFUNCTION("IMPORTRANGE(""https://docs.google.com/spreadsheets/d/1Yj_ptqi66GCucihVvJfMjLAmec39IyEx_6qawtMGysU/edit?usp=sharing"",""สบก!AK23"")"),0)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IFERROR(__xludf.DUMMYFUNCTION("IMPORTRANGE(""https://docs.google.com/spreadsheets/d/11923uPwbBZFjjGgGUA6NLw09EwE0CqkOc4q9oUmW1yo/edit?usp=sharing"",""ตาก!J16"")"),0)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IFERROR(__xludf.DUMMYFUNCTION("IMPORTRANGE(""https://docs.google.com/spreadsheets/d/11923uPwbBZFjjGgGUA6NLw09EwE0CqkOc4q9oUmW1yo/edit?usp=sharing"",""ตาก!J17"")"),0)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IFERROR(__xludf.DUMMYFUNCTION("IMPORTRANGE(""https://docs.google.com/spreadsheets/d/11923uPwbBZFjjGgGUA6NLw09EwE0CqkOc4q9oUmW1yo/edit?usp=sharing"",""ตาก!J18"")"),0)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IFERROR(__xludf.DUMMYFUNCTION("IMPORTRANGE(""https://docs.google.com/spreadsheets/d/11923uPwbBZFjjGgGUA6NLw09EwE0CqkOc4q9oUmW1yo/edit?usp=sharing"",""ตาก!J19"")"),0)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IFERROR(__xludf.DUMMYFUNCTION("IMPORTRANGE(""https://docs.google.com/spreadsheets/d/11923uPwbBZFjjGgGUA6NLw09EwE0CqkOc4q9oUmW1yo/edit?usp=sharing"",""ตาก!I20"")"),0)</f>
        <v>0</v>
      </c>
      <c r="J80" s="210">
        <f ca="1">IFERROR(__xludf.DUMMYFUNCTION("IMPORTRANGE(""https://docs.google.com/spreadsheets/d/11923uPwbBZFjjGgGUA6NLw09EwE0CqkOc4q9oUmW1yo/edit?usp=sharing"",""ตาก!J20"")"),0)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IFERROR(__xludf.DUMMYFUNCTION("IMPORTRANGE(""https://docs.google.com/spreadsheets/d/11923uPwbBZFjjGgGUA6NLw09EwE0CqkOc4q9oUmW1yo/edit?usp=sharing"",""ตาก!I21"")"),0)</f>
        <v>0</v>
      </c>
      <c r="J81" s="210">
        <f ca="1">IFERROR(__xludf.DUMMYFUNCTION("IMPORTRANGE(""https://docs.google.com/spreadsheets/d/11923uPwbBZFjjGgGUA6NLw09EwE0CqkOc4q9oUmW1yo/edit?usp=sharing"",""ตาก!J21"")"),0)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IFERROR(__xludf.DUMMYFUNCTION("IMPORTRANGE(""https://docs.google.com/spreadsheets/d/11923uPwbBZFjjGgGUA6NLw09EwE0CqkOc4q9oUmW1yo/edit?usp=sharing"",""ตาก!I22"")"),0)</f>
        <v>0</v>
      </c>
      <c r="J82" s="213">
        <f ca="1">IFERROR(__xludf.DUMMYFUNCTION("IMPORTRANGE(""https://docs.google.com/spreadsheets/d/11923uPwbBZFjjGgGUA6NLw09EwE0CqkOc4q9oUmW1yo/edit?usp=sharing"",""ตาก!J22"")"),0)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IFERROR(__xludf.DUMMYFUNCTION("IMPORTRANGE(""https://docs.google.com/spreadsheets/d/11923uPwbBZFjjGgGUA6NLw09EwE0CqkOc4q9oUmW1yo/edit?usp=sharing"",""ตาก!I23"")"),0)</f>
        <v>0</v>
      </c>
      <c r="J83" s="213">
        <f ca="1">IFERROR(__xludf.DUMMYFUNCTION("IMPORTRANGE(""https://docs.google.com/spreadsheets/d/11923uPwbBZFjjGgGUA6NLw09EwE0CqkOc4q9oUmW1yo/edit?usp=sharing"",""ตาก!J23"")"),0)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IFERROR(__xludf.DUMMYFUNCTION("IMPORTRANGE(""https://docs.google.com/spreadsheets/d/11923uPwbBZFjjGgGUA6NLw09EwE0CqkOc4q9oUmW1yo/edit?usp=sharing"",""ตาก!I24"")"),0)</f>
        <v>0</v>
      </c>
      <c r="J84" s="198">
        <f ca="1">IFERROR(__xludf.DUMMYFUNCTION("IMPORTRANGE(""https://docs.google.com/spreadsheets/d/11923uPwbBZFjjGgGUA6NLw09EwE0CqkOc4q9oUmW1yo/edit?usp=sharing"",""ตาก!J24"")"),0)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IFERROR(__xludf.DUMMYFUNCTION("IMPORTRANGE(""https://docs.google.com/spreadsheets/d/11923uPwbBZFjjGgGUA6NLw09EwE0CqkOc4q9oUmW1yo/edit?usp=sharing"",""ตาก!I25"")"),0)</f>
        <v>0</v>
      </c>
      <c r="J85" s="198">
        <f ca="1">IFERROR(__xludf.DUMMYFUNCTION("IMPORTRANGE(""https://docs.google.com/spreadsheets/d/11923uPwbBZFjjGgGUA6NLw09EwE0CqkOc4q9oUmW1yo/edit?usp=sharing"",""ตาก!J25"")"),0)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IFERROR(__xludf.DUMMYFUNCTION("IMPORTRANGE(""https://docs.google.com/spreadsheets/d/11923uPwbBZFjjGgGUA6NLw09EwE0CqkOc4q9oUmW1yo/edit?usp=sharing"",""ตาก!I26"")"),0)</f>
        <v>0</v>
      </c>
      <c r="J86" s="213">
        <f ca="1">IFERROR(__xludf.DUMMYFUNCTION("IMPORTRANGE(""https://docs.google.com/spreadsheets/d/11923uPwbBZFjjGgGUA6NLw09EwE0CqkOc4q9oUmW1yo/edit?usp=sharing"",""ตาก!J26"")"),0)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IFERROR(__xludf.DUMMYFUNCTION("IMPORTRANGE(""https://docs.google.com/spreadsheets/d/11923uPwbBZFjjGgGUA6NLw09EwE0CqkOc4q9oUmW1yo/edit?usp=sharing"",""ตาก!I27"")"),0)</f>
        <v>0</v>
      </c>
      <c r="J87" s="213">
        <f ca="1">IFERROR(__xludf.DUMMYFUNCTION("IMPORTRANGE(""https://docs.google.com/spreadsheets/d/11923uPwbBZFjjGgGUA6NLw09EwE0CqkOc4q9oUmW1yo/edit?usp=sharing"",""ตาก!J27"")"),0)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IFERROR(__xludf.DUMMYFUNCTION("IMPORTRANGE(""https://docs.google.com/spreadsheets/d/11923uPwbBZFjjGgGUA6NLw09EwE0CqkOc4q9oUmW1yo/edit?usp=sharing"",""ตาก!I28"")"),0)</f>
        <v>0</v>
      </c>
      <c r="J88" s="213">
        <f ca="1">IFERROR(__xludf.DUMMYFUNCTION("IMPORTRANGE(""https://docs.google.com/spreadsheets/d/11923uPwbBZFjjGgGUA6NLw09EwE0CqkOc4q9oUmW1yo/edit?usp=sharing"",""ตาก!J28"")"),0)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IFERROR(__xludf.DUMMYFUNCTION("IMPORTRANGE(""https://docs.google.com/spreadsheets/d/11923uPwbBZFjjGgGUA6NLw09EwE0CqkOc4q9oUmW1yo/edit?usp=sharing"",""ตาก!J29"")"),0)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IFERROR(__xludf.DUMMYFUNCTION("IMPORTRANGE(""https://docs.google.com/spreadsheets/d/11923uPwbBZFjjGgGUA6NLw09EwE0CqkOc4q9oUmW1yo/edit?usp=sharing"",""ตาก!J30"")"),0)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IFERROR(__xludf.DUMMYFUNCTION("IMPORTRANGE(""https://docs.google.com/spreadsheets/d/11923uPwbBZFjjGgGUA6NLw09EwE0CqkOc4q9oUmW1yo/edit?usp=sharing"",""ตาก!I32"")"),4)</f>
        <v>4</v>
      </c>
      <c r="J92" s="148">
        <f ca="1">IFERROR(__xludf.DUMMYFUNCTION("IMPORTRANGE(""https://docs.google.com/spreadsheets/d/11923uPwbBZFjjGgGUA6NLw09EwE0CqkOc4q9oUmW1yo/edit?usp=sharing"",""ตาก!J32"")"),4)</f>
        <v>4</v>
      </c>
      <c r="K92" s="149">
        <f t="shared" ref="K92:K93" ca="1" si="51">IF(I92&gt;0,J92*100/I92,0)</f>
        <v>100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IFERROR(__xludf.DUMMYFUNCTION("IMPORTRANGE(""https://docs.google.com/spreadsheets/d/11923uPwbBZFjjGgGUA6NLw09EwE0CqkOc4q9oUmW1yo/edit?usp=sharing"",""ตาก!I33"")"),1)</f>
        <v>1</v>
      </c>
      <c r="J93" s="148">
        <f ca="1">IFERROR(__xludf.DUMMYFUNCTION("IMPORTRANGE(""https://docs.google.com/spreadsheets/d/11923uPwbBZFjjGgGUA6NLw09EwE0CqkOc4q9oUmW1yo/edit?usp=sharing"",""ตาก!J33"")"),0)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120040</v>
      </c>
      <c r="O94" s="157">
        <f t="shared" ref="O94:O96" ca="1" si="53">IF(L94&gt;0,N94*100/L94,0)</f>
        <v>55.962703962703962</v>
      </c>
      <c r="P94" s="157">
        <f t="shared" ref="P94:P96" ca="1" si="54">IF(M94&gt;0,N94*100/M94,0)</f>
        <v>174.65444492943402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120040</v>
      </c>
      <c r="O96" s="162">
        <f t="shared" ca="1" si="53"/>
        <v>55.962703962703962</v>
      </c>
      <c r="P96" s="162">
        <f t="shared" ca="1" si="54"/>
        <v>174.65444492943402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IFERROR(__xludf.DUMMYFUNCTION("IMPORTRANGE(""https://docs.google.com/spreadsheets/d/1Yj_ptqi66GCucihVvJfMjLAmec39IyEx_6qawtMGysU/edit?usp=sharing"",""สบก!AR23"")"),68730)</f>
        <v>68730</v>
      </c>
      <c r="N98" s="177">
        <f ca="1">IFERROR(__xludf.DUMMYFUNCTION("IMPORTRANGE(""https://docs.google.com/spreadsheets/d/1Yj_ptqi66GCucihVvJfMjLAmec39IyEx_6qawtMGysU/edit?usp=sharing"",""สบก!AS23"")"),27640)</f>
        <v>27640</v>
      </c>
      <c r="O98" s="178">
        <f ca="1">IF(L98&gt;0,N98*100/L98,0)</f>
        <v>22.637182637182637</v>
      </c>
      <c r="P98" s="178">
        <f ca="1">IF(M98&gt;0,N98*100/M98,0)</f>
        <v>40.215335370289537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IFERROR(__xludf.DUMMYFUNCTION("IMPORTRANGE(""https://docs.google.com/spreadsheets/d/1Yj_ptqi66GCucihVvJfMjLAmec39IyEx_6qawtMGysU/edit?usp=sharing"",""สบก!AN23"")"),0)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IFERROR(__xludf.DUMMYFUNCTION("IMPORTRANGE(""https://docs.google.com/spreadsheets/d/1Yj_ptqi66GCucihVvJfMjLAmec39IyEx_6qawtMGysU/edit?usp=sharing"",""สบก!AO23"")"),122100)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IFERROR(__xludf.DUMMYFUNCTION("IMPORTRANGE(""https://docs.google.com/spreadsheets/d/1Yj_ptqi66GCucihVvJfMjLAmec39IyEx_6qawtMGysU/edit?usp=sharing"",""สบก!AP23"")"),92400)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IFERROR(__xludf.DUMMYFUNCTION("IMPORTRANGE(""https://docs.google.com/spreadsheets/d/1Yj_ptqi66GCucihVvJfMjLAmec39IyEx_6qawtMGysU/edit?usp=sharing"",""สบก!AT23"")"),92400)</f>
        <v>92400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IFERROR(__xludf.DUMMYFUNCTION("IMPORTRANGE(""https://docs.google.com/spreadsheets/d/11923uPwbBZFjjGgGUA6NLw09EwE0CqkOc4q9oUmW1yo/edit?usp=sharing"",""ตาก!J39"")"),0)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IFERROR(__xludf.DUMMYFUNCTION("IMPORTRANGE(""https://docs.google.com/spreadsheets/d/11923uPwbBZFjjGgGUA6NLw09EwE0CqkOc4q9oUmW1yo/edit?usp=sharing"",""ตาก!J40"")"),1)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IFERROR(__xludf.DUMMYFUNCTION("IMPORTRANGE(""https://docs.google.com/spreadsheets/d/11923uPwbBZFjjGgGUA6NLw09EwE0CqkOc4q9oUmW1yo/edit?usp=sharing"",""ตาก!J41"")"),1)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IFERROR(__xludf.DUMMYFUNCTION("IMPORTRANGE(""https://docs.google.com/spreadsheets/d/11923uPwbBZFjjGgGUA6NLw09EwE0CqkOc4q9oUmW1yo/edit?usp=sharing"",""ตาก!J42"")"),1)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IFERROR(__xludf.DUMMYFUNCTION("IMPORTRANGE(""https://docs.google.com/spreadsheets/d/11923uPwbBZFjjGgGUA6NLw09EwE0CqkOc4q9oUmW1yo/edit?usp=sharing"",""ตาก!I43"")"),1)</f>
        <v>1</v>
      </c>
      <c r="J108" s="213">
        <f ca="1">IFERROR(__xludf.DUMMYFUNCTION("IMPORTRANGE(""https://docs.google.com/spreadsheets/d/11923uPwbBZFjjGgGUA6NLw09EwE0CqkOc4q9oUmW1yo/edit?usp=sharing"",""ตาก!J43"")"),0)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IFERROR(__xludf.DUMMYFUNCTION("IMPORTRANGE(""https://docs.google.com/spreadsheets/d/11923uPwbBZFjjGgGUA6NLw09EwE0CqkOc4q9oUmW1yo/edit?usp=sharing"",""ตาก!I44"")"),4)</f>
        <v>4</v>
      </c>
      <c r="J109" s="213">
        <f ca="1">IFERROR(__xludf.DUMMYFUNCTION("IMPORTRANGE(""https://docs.google.com/spreadsheets/d/11923uPwbBZFjjGgGUA6NLw09EwE0CqkOc4q9oUmW1yo/edit?usp=sharing"",""ตาก!J44"")"),4)</f>
        <v>4</v>
      </c>
      <c r="K109" s="233">
        <f t="shared" ca="1" si="57"/>
        <v>100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IFERROR(__xludf.DUMMYFUNCTION("IMPORTRANGE(""https://docs.google.com/spreadsheets/d/11923uPwbBZFjjGgGUA6NLw09EwE0CqkOc4q9oUmW1yo/edit?usp=sharing"",""ตาก!I45"")"),4)</f>
        <v>4</v>
      </c>
      <c r="J110" s="213">
        <f ca="1">IFERROR(__xludf.DUMMYFUNCTION("IMPORTRANGE(""https://docs.google.com/spreadsheets/d/11923uPwbBZFjjGgGUA6NLw09EwE0CqkOc4q9oUmW1yo/edit?usp=sharing"",""ตาก!J45"")"),4)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IFERROR(__xludf.DUMMYFUNCTION("IMPORTRANGE(""https://docs.google.com/spreadsheets/d/11923uPwbBZFjjGgGUA6NLw09EwE0CqkOc4q9oUmW1yo/edit?usp=sharing"",""ตาก!I46"")"),4)</f>
        <v>4</v>
      </c>
      <c r="J111" s="213">
        <f ca="1">IFERROR(__xludf.DUMMYFUNCTION("IMPORTRANGE(""https://docs.google.com/spreadsheets/d/11923uPwbBZFjjGgGUA6NLw09EwE0CqkOc4q9oUmW1yo/edit?usp=sharing"",""ตาก!J46"")"),4)</f>
        <v>4</v>
      </c>
      <c r="K111" s="233">
        <f t="shared" ca="1" si="57"/>
        <v>100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IFERROR(__xludf.DUMMYFUNCTION("IMPORTRANGE(""https://docs.google.com/spreadsheets/d/11923uPwbBZFjjGgGUA6NLw09EwE0CqkOc4q9oUmW1yo/edit?usp=sharing"",""ตาก!I47"")"),4)</f>
        <v>4</v>
      </c>
      <c r="J112" s="213">
        <f ca="1">IFERROR(__xludf.DUMMYFUNCTION("IMPORTRANGE(""https://docs.google.com/spreadsheets/d/11923uPwbBZFjjGgGUA6NLw09EwE0CqkOc4q9oUmW1yo/edit?usp=sharing"",""ตาก!J47"")"),0)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IFERROR(__xludf.DUMMYFUNCTION("IMPORTRANGE(""https://docs.google.com/spreadsheets/d/11923uPwbBZFjjGgGUA6NLw09EwE0CqkOc4q9oUmW1yo/edit?usp=sharing"",""ตาก!I48"")"),1)</f>
        <v>1</v>
      </c>
      <c r="J113" s="213">
        <f ca="1">IFERROR(__xludf.DUMMYFUNCTION("IMPORTRANGE(""https://docs.google.com/spreadsheets/d/11923uPwbBZFjjGgGUA6NLw09EwE0CqkOc4q9oUmW1yo/edit?usp=sharing"",""ตาก!J48"")"),0)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IFERROR(__xludf.DUMMYFUNCTION("IMPORTRANGE(""https://docs.google.com/spreadsheets/d/11923uPwbBZFjjGgGUA6NLw09EwE0CqkOc4q9oUmW1yo/edit?usp=sharing"",""ตาก!J49"")"),0)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IFERROR(__xludf.DUMMYFUNCTION("IMPORTRANGE(""https://docs.google.com/spreadsheets/d/11923uPwbBZFjjGgGUA6NLw09EwE0CqkOc4q9oUmW1yo/edit?usp=sharing"",""ตาก!J50"")"),0)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IFERROR(__xludf.DUMMYFUNCTION("IMPORTRANGE(""https://docs.google.com/spreadsheets/d/11923uPwbBZFjjGgGUA6NLw09EwE0CqkOc4q9oUmW1yo/edit?usp=sharing"",""ตาก!I52"")"),20)</f>
        <v>20</v>
      </c>
      <c r="J117" s="148">
        <f ca="1">IFERROR(__xludf.DUMMYFUNCTION("IMPORTRANGE(""https://docs.google.com/spreadsheets/d/11923uPwbBZFjjGgGUA6NLw09EwE0CqkOc4q9oUmW1yo/edit?usp=sharing"",""ตาก!J52"")"),20)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40930</v>
      </c>
      <c r="O118" s="157">
        <f t="shared" ref="O118:O120" ca="1" si="59">IF(L118&gt;0,N118*100/L118,0)</f>
        <v>49.648229015041245</v>
      </c>
      <c r="P118" s="157">
        <f t="shared" ref="P118:P120" ca="1" si="60">IF(M118&gt;0,N118*100/M118,0)</f>
        <v>61.604455147501504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40930</v>
      </c>
      <c r="O120" s="162">
        <f t="shared" ca="1" si="59"/>
        <v>49.648229015041245</v>
      </c>
      <c r="P120" s="162">
        <f t="shared" ca="1" si="60"/>
        <v>61.604455147501504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IFERROR(__xludf.DUMMYFUNCTION("IMPORTRANGE(""https://docs.google.com/spreadsheets/d/1Yj_ptqi66GCucihVvJfMjLAmec39IyEx_6qawtMGysU/edit?usp=sharing"",""สบก!BA23"")"),66440)</f>
        <v>66440</v>
      </c>
      <c r="N122" s="177">
        <f ca="1">IFERROR(__xludf.DUMMYFUNCTION("IMPORTRANGE(""https://docs.google.com/spreadsheets/d/1Yj_ptqi66GCucihVvJfMjLAmec39IyEx_6qawtMGysU/edit?usp=sharing"",""สบก!BB23"")"),40930)</f>
        <v>40930</v>
      </c>
      <c r="O122" s="178">
        <f ca="1">IF(L122&gt;0,N122*100/L122,0)</f>
        <v>49.648229015041245</v>
      </c>
      <c r="P122" s="178">
        <f ca="1">IF(M122&gt;0,N122*100/M122,0)</f>
        <v>61.604455147501504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IFERROR(__xludf.DUMMYFUNCTION("IMPORTRANGE(""https://docs.google.com/spreadsheets/d/1Yj_ptqi66GCucihVvJfMjLAmec39IyEx_6qawtMGysU/edit?usp=sharing"",""สบก!AW23"")"),0)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IFERROR(__xludf.DUMMYFUNCTION("IMPORTRANGE(""https://docs.google.com/spreadsheets/d/1Yj_ptqi66GCucihVvJfMjLAmec39IyEx_6qawtMGysU/edit?usp=sharing"",""สบก!AX23"")"),82440)</f>
        <v>82440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IFERROR(__xludf.DUMMYFUNCTION("IMPORTRANGE(""https://docs.google.com/spreadsheets/d/1Yj_ptqi66GCucihVvJfMjLAmec39IyEx_6qawtMGysU/edit?usp=sharing"",""สบก!AY23"")"),0)</f>
        <v>0</v>
      </c>
      <c r="M126" s="103"/>
      <c r="N126" s="93">
        <f ca="1">IFERROR(__xludf.DUMMYFUNCTION("IMPORTRANGE(""https://docs.google.com/spreadsheets/d/1Yj_ptqi66GCucihVvJfMjLAmec39IyEx_6qawtMGysU/edit?usp=sharing"",""สบก!BC23"")"),0)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245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IFERROR(__xludf.DUMMYFUNCTION("IMPORTRANGE(""https://docs.google.com/spreadsheets/d/11923uPwbBZFjjGgGUA6NLw09EwE0CqkOc4q9oUmW1yo/edit?usp=sharing"",""ตาก!J58"")"),0)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IFERROR(__xludf.DUMMYFUNCTION("IMPORTRANGE(""https://docs.google.com/spreadsheets/d/11923uPwbBZFjjGgGUA6NLw09EwE0CqkOc4q9oUmW1yo/edit?usp=sharing"",""ตาก!J59"")"),1)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IFERROR(__xludf.DUMMYFUNCTION("IMPORTRANGE(""https://docs.google.com/spreadsheets/d/11923uPwbBZFjjGgGUA6NLw09EwE0CqkOc4q9oUmW1yo/edit?usp=sharing"",""ตาก!J60"")"),1)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IFERROR(__xludf.DUMMYFUNCTION("IMPORTRANGE(""https://docs.google.com/spreadsheets/d/11923uPwbBZFjjGgGUA6NLw09EwE0CqkOc4q9oUmW1yo/edit?usp=sharing"",""ตาก!J61"")"),1)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IFERROR(__xludf.DUMMYFUNCTION("IMPORTRANGE(""https://docs.google.com/spreadsheets/d/11923uPwbBZFjjGgGUA6NLw09EwE0CqkOc4q9oUmW1yo/edit?usp=sharing"",""ตาก!I62"")"),20)</f>
        <v>20</v>
      </c>
      <c r="J132" s="213">
        <f ca="1">IFERROR(__xludf.DUMMYFUNCTION("IMPORTRANGE(""https://docs.google.com/spreadsheets/d/11923uPwbBZFjjGgGUA6NLw09EwE0CqkOc4q9oUmW1yo/edit?usp=sharing"",""ตาก!J62"")"),20)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IFERROR(__xludf.DUMMYFUNCTION("IMPORTRANGE(""https://docs.google.com/spreadsheets/d/11923uPwbBZFjjGgGUA6NLw09EwE0CqkOc4q9oUmW1yo/edit?usp=sharing"",""ตาก!I63"")"),20)</f>
        <v>20</v>
      </c>
      <c r="J133" s="213">
        <f ca="1">IFERROR(__xludf.DUMMYFUNCTION("IMPORTRANGE(""https://docs.google.com/spreadsheets/d/11923uPwbBZFjjGgGUA6NLw09EwE0CqkOc4q9oUmW1yo/edit?usp=sharing"",""ตาก!J63"")"),0)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IFERROR(__xludf.DUMMYFUNCTION("IMPORTRANGE(""https://docs.google.com/spreadsheets/d/11923uPwbBZFjjGgGUA6NLw09EwE0CqkOc4q9oUmW1yo/edit?usp=sharing"",""ตาก!J64"")"),0)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IFERROR(__xludf.DUMMYFUNCTION("IMPORTRANGE(""https://docs.google.com/spreadsheets/d/11923uPwbBZFjjGgGUA6NLw09EwE0CqkOc4q9oUmW1yo/edit?usp=sharing"",""ตาก!J65"")"),0)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IFERROR(__xludf.DUMMYFUNCTION("IMPORTRANGE(""https://docs.google.com/spreadsheets/d/11923uPwbBZFjjGgGUA6NLw09EwE0CqkOc4q9oUmW1yo/edit?usp=sharing"",""ตาก!I68"")"),0)</f>
        <v>0</v>
      </c>
      <c r="J138" s="276">
        <f ca="1">IFERROR(__xludf.DUMMYFUNCTION("IMPORTRANGE(""https://docs.google.com/spreadsheets/d/11923uPwbBZFjjGgGUA6NLw09EwE0CqkOc4q9oUmW1yo/edit?usp=sharing"",""ตาก!J68"")"),0)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69000</v>
      </c>
      <c r="M140" s="158">
        <f t="shared" ca="1" si="64"/>
        <v>45750</v>
      </c>
      <c r="N140" s="158">
        <f t="shared" ca="1" si="64"/>
        <v>17905</v>
      </c>
      <c r="O140" s="157">
        <f t="shared" ref="O140:O142" ca="1" si="65">IF(L140&gt;0,N140*100/L140,0)</f>
        <v>25.94927536231884</v>
      </c>
      <c r="P140" s="157">
        <f t="shared" ref="P140:P142" ca="1" si="66">IF(M140&gt;0,N140*100/M140,0)</f>
        <v>39.136612021857921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69000</v>
      </c>
      <c r="M142" s="163">
        <f t="shared" ca="1" si="68"/>
        <v>45750</v>
      </c>
      <c r="N142" s="163">
        <f t="shared" ca="1" si="68"/>
        <v>17905</v>
      </c>
      <c r="O142" s="162">
        <f t="shared" ca="1" si="65"/>
        <v>25.94927536231884</v>
      </c>
      <c r="P142" s="162">
        <f t="shared" ca="1" si="66"/>
        <v>39.136612021857921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69000</v>
      </c>
      <c r="M144" s="176">
        <f ca="1">IFERROR(__xludf.DUMMYFUNCTION("IMPORTRANGE(""https://docs.google.com/spreadsheets/d/1Yj_ptqi66GCucihVvJfMjLAmec39IyEx_6qawtMGysU/edit?usp=sharing"",""สบก!BJ23"")"),45750)</f>
        <v>45750</v>
      </c>
      <c r="N144" s="177">
        <f ca="1">IFERROR(__xludf.DUMMYFUNCTION("IMPORTRANGE(""https://docs.google.com/spreadsheets/d/1Yj_ptqi66GCucihVvJfMjLAmec39IyEx_6qawtMGysU/edit?usp=sharing"",""สบก!BK23"")"),17905)</f>
        <v>17905</v>
      </c>
      <c r="O144" s="178">
        <f ca="1">IF(L144&gt;0,N144*100/L144,0)</f>
        <v>25.94927536231884</v>
      </c>
      <c r="P144" s="178">
        <f ca="1">IF(M144&gt;0,N144*100/M144,0)</f>
        <v>39.136612021857921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IFERROR(__xludf.DUMMYFUNCTION("IMPORTRANGE(""https://docs.google.com/spreadsheets/d/1Yj_ptqi66GCucihVvJfMjLAmec39IyEx_6qawtMGysU/edit?usp=sharing"",""สบก!BF23"")"),0)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IFERROR(__xludf.DUMMYFUNCTION("IMPORTRANGE(""https://docs.google.com/spreadsheets/d/1Yj_ptqi66GCucihVvJfMjLAmec39IyEx_6qawtMGysU/edit?usp=sharing"",""สบก!BG23"")"),69000)</f>
        <v>69000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IFERROR(__xludf.DUMMYFUNCTION("IMPORTRANGE(""https://docs.google.com/spreadsheets/d/1Yj_ptqi66GCucihVvJfMjLAmec39IyEx_6qawtMGysU/edit?usp=sharing"",""สบก!BH23"")"),0)</f>
        <v>0</v>
      </c>
      <c r="M148" s="103"/>
      <c r="N148" s="93">
        <f ca="1">IFERROR(__xludf.DUMMYFUNCTION("IMPORTRANGE(""https://docs.google.com/spreadsheets/d/1Yj_ptqi66GCucihVvJfMjLAmec39IyEx_6qawtMGysU/edit?usp=sharing"",""สบก!BL23"")"),0)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IFERROR(__xludf.DUMMYFUNCTION("IMPORTRANGE(""https://docs.google.com/spreadsheets/d/11923uPwbBZFjjGgGUA6NLw09EwE0CqkOc4q9oUmW1yo/edit?usp=sharing"",""ตาก!I74"")"),4)</f>
        <v>4</v>
      </c>
      <c r="J149" s="284">
        <f ca="1">IFERROR(__xludf.DUMMYFUNCTION("IMPORTRANGE(""https://docs.google.com/spreadsheets/d/11923uPwbBZFjjGgGUA6NLw09EwE0CqkOc4q9oUmW1yo/edit?usp=sharing"",""ตาก!J74"")"),1)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IFERROR(__xludf.DUMMYFUNCTION("IMPORTRANGE(""https://docs.google.com/spreadsheets/d/11923uPwbBZFjjGgGUA6NLw09EwE0CqkOc4q9oUmW1yo/edit?usp=sharing"",""ตาก!J79"")"),0)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IFERROR(__xludf.DUMMYFUNCTION("IMPORTRANGE(""https://docs.google.com/spreadsheets/d/11923uPwbBZFjjGgGUA6NLw09EwE0CqkOc4q9oUmW1yo/edit?usp=sharing"",""ตาก!J80"")"),1)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IFERROR(__xludf.DUMMYFUNCTION("IMPORTRANGE(""https://docs.google.com/spreadsheets/d/11923uPwbBZFjjGgGUA6NLw09EwE0CqkOc4q9oUmW1yo/edit?usp=sharing"",""ตาก!J81"")"),1)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IFERROR(__xludf.DUMMYFUNCTION("IMPORTRANGE(""https://docs.google.com/spreadsheets/d/11923uPwbBZFjjGgGUA6NLw09EwE0CqkOc4q9oUmW1yo/edit?usp=sharing"",""ตาก!J82"")"),1)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IFERROR(__xludf.DUMMYFUNCTION("IMPORTRANGE(""https://docs.google.com/spreadsheets/d/11923uPwbBZFjjGgGUA6NLw09EwE0CqkOc4q9oUmW1yo/edit?usp=sharing"",""ตาก!I83"")"),4)</f>
        <v>4</v>
      </c>
      <c r="J158" s="198">
        <f ca="1">IFERROR(__xludf.DUMMYFUNCTION("IMPORTRANGE(""https://docs.google.com/spreadsheets/d/11923uPwbBZFjjGgGUA6NLw09EwE0CqkOc4q9oUmW1yo/edit?usp=sharing"",""ตาก!J83"")"),1)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IFERROR(__xludf.DUMMYFUNCTION("IMPORTRANGE(""https://docs.google.com/spreadsheets/d/11923uPwbBZFjjGgGUA6NLw09EwE0CqkOc4q9oUmW1yo/edit?usp=sharing"",""ตาก!J84"")"),52)</f>
        <v>52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IFERROR(__xludf.DUMMYFUNCTION("IMPORTRANGE(""https://docs.google.com/spreadsheets/d/11923uPwbBZFjjGgGUA6NLw09EwE0CqkOc4q9oUmW1yo/edit?usp=sharing"",""ตาก!J85"")"),52)</f>
        <v>52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IFERROR(__xludf.DUMMYFUNCTION("IMPORTRANGE(""https://docs.google.com/spreadsheets/d/11923uPwbBZFjjGgGUA6NLw09EwE0CqkOc4q9oUmW1yo/edit?usp=sharing"",""ตาก!J86"")"),0)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IFERROR(__xludf.DUMMYFUNCTION("IMPORTRANGE(""https://docs.google.com/spreadsheets/d/11923uPwbBZFjjGgGUA6NLw09EwE0CqkOc4q9oUmW1yo/edit?usp=sharing"",""ตาก!J87"")"),0)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IFERROR(__xludf.DUMMYFUNCTION("IMPORTRANGE(""https://docs.google.com/spreadsheets/d/11923uPwbBZFjjGgGUA6NLw09EwE0CqkOc4q9oUmW1yo/edit?usp=sharing"",""ตาก!J88"")"),0)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IFERROR(__xludf.DUMMYFUNCTION("IMPORTRANGE(""https://docs.google.com/spreadsheets/d/11923uPwbBZFjjGgGUA6NLw09EwE0CqkOc4q9oUmW1yo/edit?usp=sharing"",""ตาก!I89"")"),3)</f>
        <v>3</v>
      </c>
      <c r="J164" s="292">
        <f ca="1">IFERROR(__xludf.DUMMYFUNCTION("IMPORTRANGE(""https://docs.google.com/spreadsheets/d/11923uPwbBZFjjGgGUA6NLw09EwE0CqkOc4q9oUmW1yo/edit?usp=sharing"",""ตาก!J89"")"),3)</f>
        <v>3</v>
      </c>
      <c r="K164" s="293">
        <f ca="1">IF(I164&gt;0,J164*100/I164,0)</f>
        <v>100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IFERROR(__xludf.DUMMYFUNCTION("IMPORTRANGE(""https://docs.google.com/spreadsheets/d/11923uPwbBZFjjGgGUA6NLw09EwE0CqkOc4q9oUmW1yo/edit?usp=sharing"",""ตาก!J94"")"),0)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IFERROR(__xludf.DUMMYFUNCTION("IMPORTRANGE(""https://docs.google.com/spreadsheets/d/11923uPwbBZFjjGgGUA6NLw09EwE0CqkOc4q9oUmW1yo/edit?usp=sharing"",""ตาก!J95"")"),1)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IFERROR(__xludf.DUMMYFUNCTION("IMPORTRANGE(""https://docs.google.com/spreadsheets/d/11923uPwbBZFjjGgGUA6NLw09EwE0CqkOc4q9oUmW1yo/edit?usp=sharing"",""ตาก!J96"")"),1)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IFERROR(__xludf.DUMMYFUNCTION("IMPORTRANGE(""https://docs.google.com/spreadsheets/d/11923uPwbBZFjjGgGUA6NLw09EwE0CqkOc4q9oUmW1yo/edit?usp=sharing"",""ตาก!J97"")"),1)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IFERROR(__xludf.DUMMYFUNCTION("IMPORTRANGE(""https://docs.google.com/spreadsheets/d/11923uPwbBZFjjGgGUA6NLw09EwE0CqkOc4q9oUmW1yo/edit?usp=sharing"",""ตาก!I98"")"),3)</f>
        <v>3</v>
      </c>
      <c r="J173" s="198">
        <f ca="1">IFERROR(__xludf.DUMMYFUNCTION("IMPORTRANGE(""https://docs.google.com/spreadsheets/d/11923uPwbBZFjjGgGUA6NLw09EwE0CqkOc4q9oUmW1yo/edit?usp=sharing"",""ตาก!J98"")"),3)</f>
        <v>3</v>
      </c>
      <c r="K173" s="171">
        <f ca="1">IF(I173&gt;0,J173*100/I173,0)</f>
        <v>100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IFERROR(__xludf.DUMMYFUNCTION("IMPORTRANGE(""https://docs.google.com/spreadsheets/d/11923uPwbBZFjjGgGUA6NLw09EwE0CqkOc4q9oUmW1yo/edit?usp=sharing"",""ตาก!J99"")"),0)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IFERROR(__xludf.DUMMYFUNCTION("IMPORTRANGE(""https://docs.google.com/spreadsheets/d/11923uPwbBZFjjGgGUA6NLw09EwE0CqkOc4q9oUmW1yo/edit?usp=sharing"",""ตาก!J100"")"),0)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IFERROR(__xludf.DUMMYFUNCTION("IMPORTRANGE(""https://docs.google.com/spreadsheets/d/11923uPwbBZFjjGgGUA6NLw09EwE0CqkOc4q9oUmW1yo/edit?usp=sharing"",""ตาก!I101"")"),0)</f>
        <v>0</v>
      </c>
      <c r="J176" s="292">
        <f ca="1">IFERROR(__xludf.DUMMYFUNCTION("IMPORTRANGE(""https://docs.google.com/spreadsheets/d/11923uPwbBZFjjGgGUA6NLw09EwE0CqkOc4q9oUmW1yo/edit?usp=sharing"",""ตาก!J101"")"),0)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IFERROR(__xludf.DUMMYFUNCTION("IMPORTRANGE(""https://docs.google.com/spreadsheets/d/11923uPwbBZFjjGgGUA6NLw09EwE0CqkOc4q9oUmW1yo/edit?usp=sharing"",""ตาก!J106"")"),0)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IFERROR(__xludf.DUMMYFUNCTION("IMPORTRANGE(""https://docs.google.com/spreadsheets/d/11923uPwbBZFjjGgGUA6NLw09EwE0CqkOc4q9oUmW1yo/edit?usp=sharing"",""ตาก!J107"")"),0)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IFERROR(__xludf.DUMMYFUNCTION("IMPORTRANGE(""https://docs.google.com/spreadsheets/d/11923uPwbBZFjjGgGUA6NLw09EwE0CqkOc4q9oUmW1yo/edit?usp=sharing"",""ตาก!J108"")"),0)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IFERROR(__xludf.DUMMYFUNCTION("IMPORTRANGE(""https://docs.google.com/spreadsheets/d/11923uPwbBZFjjGgGUA6NLw09EwE0CqkOc4q9oUmW1yo/edit?usp=sharing"",""ตาก!J109"")"),0)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IFERROR(__xludf.DUMMYFUNCTION("IMPORTRANGE(""https://docs.google.com/spreadsheets/d/11923uPwbBZFjjGgGUA6NLw09EwE0CqkOc4q9oUmW1yo/edit?usp=sharing"",""ตาก!I110"")"),0)</f>
        <v>0</v>
      </c>
      <c r="J185" s="213">
        <f ca="1">IFERROR(__xludf.DUMMYFUNCTION("IMPORTRANGE(""https://docs.google.com/spreadsheets/d/11923uPwbBZFjjGgGUA6NLw09EwE0CqkOc4q9oUmW1yo/edit?usp=sharing"",""ตาก!J110"")"),0)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IFERROR(__xludf.DUMMYFUNCTION("IMPORTRANGE(""https://docs.google.com/spreadsheets/d/11923uPwbBZFjjGgGUA6NLw09EwE0CqkOc4q9oUmW1yo/edit?usp=sharing"",""ตาก!I111"")"),0)</f>
        <v>0</v>
      </c>
      <c r="J186" s="213">
        <f ca="1">IFERROR(__xludf.DUMMYFUNCTION("IMPORTRANGE(""https://docs.google.com/spreadsheets/d/11923uPwbBZFjjGgGUA6NLw09EwE0CqkOc4q9oUmW1yo/edit?usp=sharing"",""ตาก!J111"")"),0)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IFERROR(__xludf.DUMMYFUNCTION("IMPORTRANGE(""https://docs.google.com/spreadsheets/d/11923uPwbBZFjjGgGUA6NLw09EwE0CqkOc4q9oUmW1yo/edit?usp=sharing"",""ตาก!J112"")"),0)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IFERROR(__xludf.DUMMYFUNCTION("IMPORTRANGE(""https://docs.google.com/spreadsheets/d/11923uPwbBZFjjGgGUA6NLw09EwE0CqkOc4q9oUmW1yo/edit?usp=sharing"",""ตาก!J113"")"),0)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IFERROR(__xludf.DUMMYFUNCTION("IMPORTRANGE(""https://docs.google.com/spreadsheets/d/11923uPwbBZFjjGgGUA6NLw09EwE0CqkOc4q9oUmW1yo/edit?usp=sharing"",""ตาก!I114"")"),50000)</f>
        <v>50000</v>
      </c>
      <c r="J189" s="292">
        <f ca="1">IFERROR(__xludf.DUMMYFUNCTION("IMPORTRANGE(""https://docs.google.com/spreadsheets/d/11923uPwbBZFjjGgGUA6NLw09EwE0CqkOc4q9oUmW1yo/edit?usp=sharing"",""ตาก!J114"")"),0)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IFERROR(__xludf.DUMMYFUNCTION("IMPORTRANGE(""https://docs.google.com/spreadsheets/d/11923uPwbBZFjjGgGUA6NLw09EwE0CqkOc4q9oUmW1yo/edit?usp=sharing"",""ตาก!J119"")"),0)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IFERROR(__xludf.DUMMYFUNCTION("IMPORTRANGE(""https://docs.google.com/spreadsheets/d/11923uPwbBZFjjGgGUA6NLw09EwE0CqkOc4q9oUmW1yo/edit?usp=sharing"",""ตาก!J120"")"),1)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IFERROR(__xludf.DUMMYFUNCTION("IMPORTRANGE(""https://docs.google.com/spreadsheets/d/11923uPwbBZFjjGgGUA6NLw09EwE0CqkOc4q9oUmW1yo/edit?usp=sharing"",""ตาก!J121"")"),1)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IFERROR(__xludf.DUMMYFUNCTION("IMPORTRANGE(""https://docs.google.com/spreadsheets/d/11923uPwbBZFjjGgGUA6NLw09EwE0CqkOc4q9oUmW1yo/edit?usp=sharing"",""ตาก!J122"")"),1)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IFERROR(__xludf.DUMMYFUNCTION("IMPORTRANGE(""https://docs.google.com/spreadsheets/d/11923uPwbBZFjjGgGUA6NLw09EwE0CqkOc4q9oUmW1yo/edit?usp=sharing"",""ตาก!I124"")"),50000)</f>
        <v>50000</v>
      </c>
      <c r="J199" s="198">
        <f ca="1">IFERROR(__xludf.DUMMYFUNCTION("IMPORTRANGE(""https://docs.google.com/spreadsheets/d/11923uPwbBZFjjGgGUA6NLw09EwE0CqkOc4q9oUmW1yo/edit?usp=sharing"",""ตาก!J124"")"),0)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IFERROR(__xludf.DUMMYFUNCTION("IMPORTRANGE(""https://docs.google.com/spreadsheets/d/11923uPwbBZFjjGgGUA6NLw09EwE0CqkOc4q9oUmW1yo/edit?usp=sharing"",""ตาก!I125"")"),50000)</f>
        <v>50000</v>
      </c>
      <c r="J200" s="198">
        <f ca="1">IFERROR(__xludf.DUMMYFUNCTION("IMPORTRANGE(""https://docs.google.com/spreadsheets/d/11923uPwbBZFjjGgGUA6NLw09EwE0CqkOc4q9oUmW1yo/edit?usp=sharing"",""ตาก!J125"")"),0)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IFERROR(__xludf.DUMMYFUNCTION("IMPORTRANGE(""https://docs.google.com/spreadsheets/d/11923uPwbBZFjjGgGUA6NLw09EwE0CqkOc4q9oUmW1yo/edit?usp=sharing"",""ตาก!I126"")"),0)</f>
        <v>0</v>
      </c>
      <c r="J201" s="198">
        <f ca="1">IFERROR(__xludf.DUMMYFUNCTION("IMPORTRANGE(""https://docs.google.com/spreadsheets/d/11923uPwbBZFjjGgGUA6NLw09EwE0CqkOc4q9oUmW1yo/edit?usp=sharing"",""ตาก!J126"")"),0)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IFERROR(__xludf.DUMMYFUNCTION("IMPORTRANGE(""https://docs.google.com/spreadsheets/d/11923uPwbBZFjjGgGUA6NLw09EwE0CqkOc4q9oUmW1yo/edit?usp=sharing"",""ตาก!J127"")"),0)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IFERROR(__xludf.DUMMYFUNCTION("IMPORTRANGE(""https://docs.google.com/spreadsheets/d/11923uPwbBZFjjGgGUA6NLw09EwE0CqkOc4q9oUmW1yo/edit?usp=sharing"",""ตาก!J128"")"),0)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IFERROR(__xludf.DUMMYFUNCTION("IMPORTRANGE(""https://docs.google.com/spreadsheets/d/11923uPwbBZFjjGgGUA6NLw09EwE0CqkOc4q9oUmW1yo/edit?usp=sharing"",""ตาก!I129"")"),0)</f>
        <v>0</v>
      </c>
      <c r="J204" s="292">
        <f ca="1">IFERROR(__xludf.DUMMYFUNCTION("IMPORTRANGE(""https://docs.google.com/spreadsheets/d/11923uPwbBZFjjGgGUA6NLw09EwE0CqkOc4q9oUmW1yo/edit?usp=sharing"",""ตาก!J129"")"),0)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IFERROR(__xludf.DUMMYFUNCTION("IMPORTRANGE(""https://docs.google.com/spreadsheets/d/11923uPwbBZFjjGgGUA6NLw09EwE0CqkOc4q9oUmW1yo/edit?usp=sharing"",""ตาก!J134"")"),0)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IFERROR(__xludf.DUMMYFUNCTION("IMPORTRANGE(""https://docs.google.com/spreadsheets/d/11923uPwbBZFjjGgGUA6NLw09EwE0CqkOc4q9oUmW1yo/edit?usp=sharing"",""ตาก!J135"")"),0)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IFERROR(__xludf.DUMMYFUNCTION("IMPORTRANGE(""https://docs.google.com/spreadsheets/d/11923uPwbBZFjjGgGUA6NLw09EwE0CqkOc4q9oUmW1yo/edit?usp=sharing"",""ตาก!J136"")"),0)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IFERROR(__xludf.DUMMYFUNCTION("IMPORTRANGE(""https://docs.google.com/spreadsheets/d/11923uPwbBZFjjGgGUA6NLw09EwE0CqkOc4q9oUmW1yo/edit?usp=sharing"",""ตาก!J137"")"),0)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IFERROR(__xludf.DUMMYFUNCTION("IMPORTRANGE(""https://docs.google.com/spreadsheets/d/11923uPwbBZFjjGgGUA6NLw09EwE0CqkOc4q9oUmW1yo/edit?usp=sharing"",""ตาก!I138"")"),0)</f>
        <v>0</v>
      </c>
      <c r="J213" s="213">
        <f ca="1">IFERROR(__xludf.DUMMYFUNCTION("IMPORTRANGE(""https://docs.google.com/spreadsheets/d/11923uPwbBZFjjGgGUA6NLw09EwE0CqkOc4q9oUmW1yo/edit?usp=sharing"",""ตาก!J138"")"),0)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IFERROR(__xludf.DUMMYFUNCTION("IMPORTRANGE(""https://docs.google.com/spreadsheets/d/11923uPwbBZFjjGgGUA6NLw09EwE0CqkOc4q9oUmW1yo/edit?usp=sharing"",""ตาก!I140"")"),0)</f>
        <v>0</v>
      </c>
      <c r="J215" s="213">
        <f ca="1">IFERROR(__xludf.DUMMYFUNCTION("IMPORTRANGE(""https://docs.google.com/spreadsheets/d/11923uPwbBZFjjGgGUA6NLw09EwE0CqkOc4q9oUmW1yo/edit?usp=sharing"",""ตาก!J140"")"),0)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IFERROR(__xludf.DUMMYFUNCTION("IMPORTRANGE(""https://docs.google.com/spreadsheets/d/11923uPwbBZFjjGgGUA6NLw09EwE0CqkOc4q9oUmW1yo/edit?usp=sharing"",""ตาก!I141"")"),0)</f>
        <v>0</v>
      </c>
      <c r="J216" s="213">
        <f ca="1">IFERROR(__xludf.DUMMYFUNCTION("IMPORTRANGE(""https://docs.google.com/spreadsheets/d/11923uPwbBZFjjGgGUA6NLw09EwE0CqkOc4q9oUmW1yo/edit?usp=sharing"",""ตาก!J141"")"),0)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IFERROR(__xludf.DUMMYFUNCTION("IMPORTRANGE(""https://docs.google.com/spreadsheets/d/11923uPwbBZFjjGgGUA6NLw09EwE0CqkOc4q9oUmW1yo/edit?usp=sharing"",""ตาก!J142"")"),0)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IFERROR(__xludf.DUMMYFUNCTION("IMPORTRANGE(""https://docs.google.com/spreadsheets/d/11923uPwbBZFjjGgGUA6NLw09EwE0CqkOc4q9oUmW1yo/edit?usp=sharing"",""ตาก!J143"")"),0)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IFERROR(__xludf.DUMMYFUNCTION("IMPORTRANGE(""https://docs.google.com/spreadsheets/d/11923uPwbBZFjjGgGUA6NLw09EwE0CqkOc4q9oUmW1yo/edit?usp=sharing"",""ตาก!I144"")"),14)</f>
        <v>14</v>
      </c>
      <c r="J219" s="276">
        <f ca="1">IFERROR(__xludf.DUMMYFUNCTION("IMPORTRANGE(""https://docs.google.com/spreadsheets/d/11923uPwbBZFjjGgGUA6NLw09EwE0CqkOc4q9oUmW1yo/edit?usp=sharing"",""ตาก!J144"")"),14)</f>
        <v>14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20210</v>
      </c>
      <c r="M220" s="158">
        <f t="shared" ca="1" si="72"/>
        <v>20210</v>
      </c>
      <c r="N220" s="158">
        <f t="shared" ca="1" si="72"/>
        <v>20210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20210</v>
      </c>
      <c r="M222" s="163">
        <f t="shared" ca="1" si="76"/>
        <v>20210</v>
      </c>
      <c r="N222" s="163">
        <f t="shared" ca="1" si="76"/>
        <v>20210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20210</v>
      </c>
      <c r="M224" s="176">
        <f ca="1">IFERROR(__xludf.DUMMYFUNCTION("IMPORTRANGE(""https://docs.google.com/spreadsheets/d/1Yj_ptqi66GCucihVvJfMjLAmec39IyEx_6qawtMGysU/edit?usp=sharing"",""สบก!BS23"")"),20210)</f>
        <v>20210</v>
      </c>
      <c r="N224" s="177">
        <f ca="1">IFERROR(__xludf.DUMMYFUNCTION("IMPORTRANGE(""https://docs.google.com/spreadsheets/d/1Yj_ptqi66GCucihVvJfMjLAmec39IyEx_6qawtMGysU/edit?usp=sharing"",""สบก!BT23"")"),20210)</f>
        <v>20210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IFERROR(__xludf.DUMMYFUNCTION("IMPORTRANGE(""https://docs.google.com/spreadsheets/d/1Yj_ptqi66GCucihVvJfMjLAmec39IyEx_6qawtMGysU/edit?usp=sharing"",""สบก!BO23"")"),0)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IFERROR(__xludf.DUMMYFUNCTION("IMPORTRANGE(""https://docs.google.com/spreadsheets/d/1Yj_ptqi66GCucihVvJfMjLAmec39IyEx_6qawtMGysU/edit?usp=sharing"",""สบก!BP23"")"),20210)</f>
        <v>20210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IFERROR(__xludf.DUMMYFUNCTION("IMPORTRANGE(""https://docs.google.com/spreadsheets/d/1Yj_ptqi66GCucihVvJfMjLAmec39IyEx_6qawtMGysU/edit?usp=sharing"",""สบก!BQ23"")"),0)</f>
        <v>0</v>
      </c>
      <c r="M228" s="103"/>
      <c r="N228" s="93">
        <f ca="1">IFERROR(__xludf.DUMMYFUNCTION("IMPORTRANGE(""https://docs.google.com/spreadsheets/d/1Yj_ptqi66GCucihVvJfMjLAmec39IyEx_6qawtMGysU/edit?usp=sharing"",""สบก!BU23"")"),0)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IFERROR(__xludf.DUMMYFUNCTION("IMPORTRANGE(""https://docs.google.com/spreadsheets/d/11923uPwbBZFjjGgGUA6NLw09EwE0CqkOc4q9oUmW1yo/edit?usp=sharing"",""ตาก!I149"")"),14)</f>
        <v>14</v>
      </c>
      <c r="J229" s="276">
        <f ca="1">IFERROR(__xludf.DUMMYFUNCTION("IMPORTRANGE(""https://docs.google.com/spreadsheets/d/11923uPwbBZFjjGgGUA6NLw09EwE0CqkOc4q9oUmW1yo/edit?usp=sharing"",""ตาก!J149"")"),14)</f>
        <v>14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IFERROR(__xludf.DUMMYFUNCTION("IMPORTRANGE(""https://docs.google.com/spreadsheets/d/11923uPwbBZFjjGgGUA6NLw09EwE0CqkOc4q9oUmW1yo/edit?usp=sharing"",""ตาก!J151"")"),0)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IFERROR(__xludf.DUMMYFUNCTION("IMPORTRANGE(""https://docs.google.com/spreadsheets/d/11923uPwbBZFjjGgGUA6NLw09EwE0CqkOc4q9oUmW1yo/edit?usp=sharing"",""ตาก!J152"")"),1)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IFERROR(__xludf.DUMMYFUNCTION("IMPORTRANGE(""https://docs.google.com/spreadsheets/d/11923uPwbBZFjjGgGUA6NLw09EwE0CqkOc4q9oUmW1yo/edit?usp=sharing"",""ตาก!J153"")"),1)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IFERROR(__xludf.DUMMYFUNCTION("IMPORTRANGE(""https://docs.google.com/spreadsheets/d/11923uPwbBZFjjGgGUA6NLw09EwE0CqkOc4q9oUmW1yo/edit?usp=sharing"",""ตาก!J154"")"),1)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IFERROR(__xludf.DUMMYFUNCTION("IMPORTRANGE(""https://docs.google.com/spreadsheets/d/11923uPwbBZFjjGgGUA6NLw09EwE0CqkOc4q9oUmW1yo/edit?usp=sharing"",""ตาก!I155"")"),14)</f>
        <v>14</v>
      </c>
      <c r="J235" s="198">
        <f ca="1">IFERROR(__xludf.DUMMYFUNCTION("IMPORTRANGE(""https://docs.google.com/spreadsheets/d/11923uPwbBZFjjGgGUA6NLw09EwE0CqkOc4q9oUmW1yo/edit?usp=sharing"",""ตาก!J155"")"),14)</f>
        <v>14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IFERROR(__xludf.DUMMYFUNCTION("IMPORTRANGE(""https://docs.google.com/spreadsheets/d/11923uPwbBZFjjGgGUA6NLw09EwE0CqkOc4q9oUmW1yo/edit?usp=sharing"",""ตาก!J156"")"),0)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IFERROR(__xludf.DUMMYFUNCTION("IMPORTRANGE(""https://docs.google.com/spreadsheets/d/11923uPwbBZFjjGgGUA6NLw09EwE0CqkOc4q9oUmW1yo/edit?usp=sharing"",""ตาก!J157"")"),0)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IFERROR(__xludf.DUMMYFUNCTION("IMPORTRANGE(""https://docs.google.com/spreadsheets/d/11923uPwbBZFjjGgGUA6NLw09EwE0CqkOc4q9oUmW1yo/edit?usp=sharing"",""ตาก!I158"")"),0)</f>
        <v>0</v>
      </c>
      <c r="J238" s="276">
        <f ca="1">IFERROR(__xludf.DUMMYFUNCTION("IMPORTRANGE(""https://docs.google.com/spreadsheets/d/11923uPwbBZFjjGgGUA6NLw09EwE0CqkOc4q9oUmW1yo/edit?usp=sharing"",""ตาก!J158"")"),0)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IFERROR(__xludf.DUMMYFUNCTION("IMPORTRANGE(""https://docs.google.com/spreadsheets/d/11923uPwbBZFjjGgGUA6NLw09EwE0CqkOc4q9oUmW1yo/edit?usp=sharing"",""ตาก!J159"")"),"")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IFERROR(__xludf.DUMMYFUNCTION("IMPORTRANGE(""https://docs.google.com/spreadsheets/d/11923uPwbBZFjjGgGUA6NLw09EwE0CqkOc4q9oUmW1yo/edit?usp=sharing"",""ตาก!J161"")"),0)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IFERROR(__xludf.DUMMYFUNCTION("IMPORTRANGE(""https://docs.google.com/spreadsheets/d/11923uPwbBZFjjGgGUA6NLw09EwE0CqkOc4q9oUmW1yo/edit?usp=sharing"",""ตาก!J162"")"),0)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IFERROR(__xludf.DUMMYFUNCTION("IMPORTRANGE(""https://docs.google.com/spreadsheets/d/11923uPwbBZFjjGgGUA6NLw09EwE0CqkOc4q9oUmW1yo/edit?usp=sharing"",""ตาก!J163"")"),0)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IFERROR(__xludf.DUMMYFUNCTION("IMPORTRANGE(""https://docs.google.com/spreadsheets/d/11923uPwbBZFjjGgGUA6NLw09EwE0CqkOc4q9oUmW1yo/edit?usp=sharing"",""ตาก!I164"")"),0)</f>
        <v>0</v>
      </c>
      <c r="J244" s="197">
        <f ca="1">IFERROR(__xludf.DUMMYFUNCTION("IMPORTRANGE(""https://docs.google.com/spreadsheets/d/11923uPwbBZFjjGgGUA6NLw09EwE0CqkOc4q9oUmW1yo/edit?usp=sharing"",""ตาก!J164"")"),0)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IFERROR(__xludf.DUMMYFUNCTION("IMPORTRANGE(""https://docs.google.com/spreadsheets/d/11923uPwbBZFjjGgGUA6NLw09EwE0CqkOc4q9oUmW1yo/edit?usp=sharing"",""ตาก!J165"")"),0)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IFERROR(__xludf.DUMMYFUNCTION("IMPORTRANGE(""https://docs.google.com/spreadsheets/d/11923uPwbBZFjjGgGUA6NLw09EwE0CqkOc4q9oUmW1yo/edit?usp=sharing"",""ตาก!J166"")"),0)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IFERROR(__xludf.DUMMYFUNCTION("IMPORTRANGE(""https://docs.google.com/spreadsheets/d/11923uPwbBZFjjGgGUA6NLw09EwE0CqkOc4q9oUmW1yo/edit?usp=sharing"",""ตาก!I169"")"),0)</f>
        <v>0</v>
      </c>
      <c r="J249" s="324">
        <f ca="1">IFERROR(__xludf.DUMMYFUNCTION("IMPORTRANGE(""https://docs.google.com/spreadsheets/d/11923uPwbBZFjjGgGUA6NLw09EwE0CqkOc4q9oUmW1yo/edit?usp=sharing"",""ตาก!J169"")"),0)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IFERROR(__xludf.DUMMYFUNCTION("IMPORTRANGE(""https://docs.google.com/spreadsheets/d/1Yj_ptqi66GCucihVvJfMjLAmec39IyEx_6qawtMGysU/edit?usp=sharing"",""สบก!CB23"")"),0)</f>
        <v>0</v>
      </c>
      <c r="N254" s="177">
        <f ca="1">IFERROR(__xludf.DUMMYFUNCTION("IMPORTRANGE(""https://docs.google.com/spreadsheets/d/1Yj_ptqi66GCucihVvJfMjLAmec39IyEx_6qawtMGysU/edit?usp=sharing"",""สบก!CC23"")"),0)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IFERROR(__xludf.DUMMYFUNCTION("IMPORTRANGE(""https://docs.google.com/spreadsheets/d/1Yj_ptqi66GCucihVvJfMjLAmec39IyEx_6qawtMGysU/edit?usp=sharing"",""สบก!BX23"")"),0)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IFERROR(__xludf.DUMMYFUNCTION("IMPORTRANGE(""https://docs.google.com/spreadsheets/d/1Yj_ptqi66GCucihVvJfMjLAmec39IyEx_6qawtMGysU/edit?usp=sharing"",""สบก!BY23"")"),0)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IFERROR(__xludf.DUMMYFUNCTION("IMPORTRANGE(""https://docs.google.com/spreadsheets/d/1Yj_ptqi66GCucihVvJfMjLAmec39IyEx_6qawtMGysU/edit?usp=sharing"",""สบก!BZ23"")"),0)</f>
        <v>0</v>
      </c>
      <c r="M258" s="103"/>
      <c r="N258" s="93">
        <f ca="1">IFERROR(__xludf.DUMMYFUNCTION("IMPORTRANGE(""https://docs.google.com/spreadsheets/d/1Yj_ptqi66GCucihVvJfMjLAmec39IyEx_6qawtMGysU/edit?usp=sharing"",""สบก!CD23"")"),0)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IFERROR(__xludf.DUMMYFUNCTION("IMPORTRANGE(""https://docs.google.com/spreadsheets/d/11923uPwbBZFjjGgGUA6NLw09EwE0CqkOc4q9oUmW1yo/edit?usp=sharing"",""ตาก!J175"")"),0)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IFERROR(__xludf.DUMMYFUNCTION("IMPORTRANGE(""https://docs.google.com/spreadsheets/d/11923uPwbBZFjjGgGUA6NLw09EwE0CqkOc4q9oUmW1yo/edit?usp=sharing"",""ตาก!J176"")"),0)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IFERROR(__xludf.DUMMYFUNCTION("IMPORTRANGE(""https://docs.google.com/spreadsheets/d/11923uPwbBZFjjGgGUA6NLw09EwE0CqkOc4q9oUmW1yo/edit?usp=sharing"",""ตาก!J177"")"),0)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IFERROR(__xludf.DUMMYFUNCTION("IMPORTRANGE(""https://docs.google.com/spreadsheets/d/11923uPwbBZFjjGgGUA6NLw09EwE0CqkOc4q9oUmW1yo/edit?usp=sharing"",""ตาก!J178"")"),0)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IFERROR(__xludf.DUMMYFUNCTION("IMPORTRANGE(""https://docs.google.com/spreadsheets/d/11923uPwbBZFjjGgGUA6NLw09EwE0CqkOc4q9oUmW1yo/edit?usp=sharing"",""ตาก!I179"")"),0)</f>
        <v>0</v>
      </c>
      <c r="J264" s="198">
        <f ca="1">IFERROR(__xludf.DUMMYFUNCTION("IMPORTRANGE(""https://docs.google.com/spreadsheets/d/11923uPwbBZFjjGgGUA6NLw09EwE0CqkOc4q9oUmW1yo/edit?usp=sharing"",""ตาก!J179"")"),0)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IFERROR(__xludf.DUMMYFUNCTION("IMPORTRANGE(""https://docs.google.com/spreadsheets/d/11923uPwbBZFjjGgGUA6NLw09EwE0CqkOc4q9oUmW1yo/edit?usp=sharing"",""ตาก!I180"")"),0)</f>
        <v>0</v>
      </c>
      <c r="J265" s="198">
        <f ca="1">IFERROR(__xludf.DUMMYFUNCTION("IMPORTRANGE(""https://docs.google.com/spreadsheets/d/11923uPwbBZFjjGgGUA6NLw09EwE0CqkOc4q9oUmW1yo/edit?usp=sharing"",""ตาก!J180"")"),0)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IFERROR(__xludf.DUMMYFUNCTION("IMPORTRANGE(""https://docs.google.com/spreadsheets/d/11923uPwbBZFjjGgGUA6NLw09EwE0CqkOc4q9oUmW1yo/edit?usp=sharing"",""ตาก!I181"")"),0)</f>
        <v>0</v>
      </c>
      <c r="J266" s="198">
        <f ca="1">IFERROR(__xludf.DUMMYFUNCTION("IMPORTRANGE(""https://docs.google.com/spreadsheets/d/11923uPwbBZFjjGgGUA6NLw09EwE0CqkOc4q9oUmW1yo/edit?usp=sharing"",""ตาก!J181"")"),0)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IFERROR(__xludf.DUMMYFUNCTION("IMPORTRANGE(""https://docs.google.com/spreadsheets/d/11923uPwbBZFjjGgGUA6NLw09EwE0CqkOc4q9oUmW1yo/edit?usp=sharing"",""ตาก!I182"")"),0)</f>
        <v>0</v>
      </c>
      <c r="J267" s="198">
        <f ca="1">IFERROR(__xludf.DUMMYFUNCTION("IMPORTRANGE(""https://docs.google.com/spreadsheets/d/11923uPwbBZFjjGgGUA6NLw09EwE0CqkOc4q9oUmW1yo/edit?usp=sharing"",""ตาก!J182"")"),0)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IFERROR(__xludf.DUMMYFUNCTION("IMPORTRANGE(""https://docs.google.com/spreadsheets/d/11923uPwbBZFjjGgGUA6NLw09EwE0CqkOc4q9oUmW1yo/edit?usp=sharing"",""ตาก!J183"")"),0)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IFERROR(__xludf.DUMMYFUNCTION("IMPORTRANGE(""https://docs.google.com/spreadsheets/d/11923uPwbBZFjjGgGUA6NLw09EwE0CqkOc4q9oUmW1yo/edit?usp=sharing"",""ตาก!J184"")"),0)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IFERROR(__xludf.DUMMYFUNCTION("IMPORTRANGE(""https://docs.google.com/spreadsheets/d/11923uPwbBZFjjGgGUA6NLw09EwE0CqkOc4q9oUmW1yo/edit?usp=sharing"",""ตาก!I185"")"),20)</f>
        <v>20</v>
      </c>
      <c r="J270" s="324">
        <f ca="1">IFERROR(__xludf.DUMMYFUNCTION("IMPORTRANGE(""https://docs.google.com/spreadsheets/d/11923uPwbBZFjjGgGUA6NLw09EwE0CqkOc4q9oUmW1yo/edit?usp=sharing"",""ตาก!J185"")"),0)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337600</v>
      </c>
      <c r="M271" s="158">
        <f t="shared" ca="1" si="83"/>
        <v>170000</v>
      </c>
      <c r="N271" s="158">
        <f t="shared" ca="1" si="83"/>
        <v>105682</v>
      </c>
      <c r="O271" s="157">
        <f t="shared" ref="O271:O273" ca="1" si="84">IF(L271&gt;0,N271*100/L271,0)</f>
        <v>31.303909952606634</v>
      </c>
      <c r="P271" s="157">
        <f t="shared" ref="P271:P273" ca="1" si="85">IF(M271&gt;0,N271*100/M271,0)</f>
        <v>62.165882352941175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337600</v>
      </c>
      <c r="M273" s="163">
        <f t="shared" ca="1" si="87"/>
        <v>170000</v>
      </c>
      <c r="N273" s="163">
        <f t="shared" ca="1" si="87"/>
        <v>105682</v>
      </c>
      <c r="O273" s="162">
        <f t="shared" ca="1" si="84"/>
        <v>31.303909952606634</v>
      </c>
      <c r="P273" s="162">
        <f t="shared" ca="1" si="85"/>
        <v>62.165882352941175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337600</v>
      </c>
      <c r="M275" s="176">
        <f ca="1">IFERROR(__xludf.DUMMYFUNCTION("IMPORTRANGE(""https://docs.google.com/spreadsheets/d/1Yj_ptqi66GCucihVvJfMjLAmec39IyEx_6qawtMGysU/edit?usp=sharing"",""สบก!CK23"")"),170000)</f>
        <v>170000</v>
      </c>
      <c r="N275" s="177">
        <f ca="1">IFERROR(__xludf.DUMMYFUNCTION("IMPORTRANGE(""https://docs.google.com/spreadsheets/d/1Yj_ptqi66GCucihVvJfMjLAmec39IyEx_6qawtMGysU/edit?usp=sharing"",""สบก!CL23"")"),105682)</f>
        <v>105682</v>
      </c>
      <c r="O275" s="178">
        <f ca="1">IF(L275&gt;0,N275*100/L275,0)</f>
        <v>31.303909952606634</v>
      </c>
      <c r="P275" s="178">
        <f ca="1">IF(M275&gt;0,N275*100/M275,0)</f>
        <v>62.165882352941175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IFERROR(__xludf.DUMMYFUNCTION("IMPORTRANGE(""https://docs.google.com/spreadsheets/d/1Yj_ptqi66GCucihVvJfMjLAmec39IyEx_6qawtMGysU/edit?usp=sharing"",""สบก!CG23"")"),264000)</f>
        <v>264000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IFERROR(__xludf.DUMMYFUNCTION("IMPORTRANGE(""https://docs.google.com/spreadsheets/d/1Yj_ptqi66GCucihVvJfMjLAmec39IyEx_6qawtMGysU/edit?usp=sharing"",""สบก!CH23"")"),73600)</f>
        <v>73600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IFERROR(__xludf.DUMMYFUNCTION("IMPORTRANGE(""https://docs.google.com/spreadsheets/d/1Yj_ptqi66GCucihVvJfMjLAmec39IyEx_6qawtMGysU/edit?usp=sharing"",""สบก!CI23"")"),0)</f>
        <v>0</v>
      </c>
      <c r="M279" s="103"/>
      <c r="N279" s="93">
        <f ca="1">IFERROR(__xludf.DUMMYFUNCTION("IMPORTRANGE(""https://docs.google.com/spreadsheets/d/1Yj_ptqi66GCucihVvJfMjLAmec39IyEx_6qawtMGysU/edit?usp=sharing"",""สบก!CM23"")"),0)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IFERROR(__xludf.DUMMYFUNCTION("IMPORTRANGE(""https://docs.google.com/spreadsheets/d/11923uPwbBZFjjGgGUA6NLw09EwE0CqkOc4q9oUmW1yo/edit?usp=sharing"",""ตาก!J191"")"),0)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IFERROR(__xludf.DUMMYFUNCTION("IMPORTRANGE(""https://docs.google.com/spreadsheets/d/11923uPwbBZFjjGgGUA6NLw09EwE0CqkOc4q9oUmW1yo/edit?usp=sharing"",""ตาก!J192"")"),1)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IFERROR(__xludf.DUMMYFUNCTION("IMPORTRANGE(""https://docs.google.com/spreadsheets/d/11923uPwbBZFjjGgGUA6NLw09EwE0CqkOc4q9oUmW1yo/edit?usp=sharing"",""ตาก!J193"")"),1)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IFERROR(__xludf.DUMMYFUNCTION("IMPORTRANGE(""https://docs.google.com/spreadsheets/d/11923uPwbBZFjjGgGUA6NLw09EwE0CqkOc4q9oUmW1yo/edit?usp=sharing"",""ตาก!J194"")"),1)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IFERROR(__xludf.DUMMYFUNCTION("IMPORTRANGE(""https://docs.google.com/spreadsheets/d/11923uPwbBZFjjGgGUA6NLw09EwE0CqkOc4q9oUmW1yo/edit?usp=sharing"",""ตาก!I195"")"),20)</f>
        <v>20</v>
      </c>
      <c r="J285" s="198">
        <f ca="1">IFERROR(__xludf.DUMMYFUNCTION("IMPORTRANGE(""https://docs.google.com/spreadsheets/d/11923uPwbBZFjjGgGUA6NLw09EwE0CqkOc4q9oUmW1yo/edit?usp=sharing"",""ตาก!J195"")"),0)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IFERROR(__xludf.DUMMYFUNCTION("IMPORTRANGE(""https://docs.google.com/spreadsheets/d/11923uPwbBZFjjGgGUA6NLw09EwE0CqkOc4q9oUmW1yo/edit?usp=sharing"",""ตาก!J196"")"),0)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IFERROR(__xludf.DUMMYFUNCTION("IMPORTRANGE(""https://docs.google.com/spreadsheets/d/11923uPwbBZFjjGgGUA6NLw09EwE0CqkOc4q9oUmW1yo/edit?usp=sharing"",""ตาก!J197"")"),0)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IFERROR(__xludf.DUMMYFUNCTION("IMPORTRANGE(""https://docs.google.com/spreadsheets/d/11923uPwbBZFjjGgGUA6NLw09EwE0CqkOc4q9oUmW1yo/edit?usp=sharing"",""ตาก!I199"")"),0)</f>
        <v>0</v>
      </c>
      <c r="J289" s="324">
        <f ca="1">IFERROR(__xludf.DUMMYFUNCTION("IMPORTRANGE(""https://docs.google.com/spreadsheets/d/11923uPwbBZFjjGgGUA6NLw09EwE0CqkOc4q9oUmW1yo/edit?usp=sharing"",""ตาก!J199"")"),0)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IFERROR(__xludf.DUMMYFUNCTION("IMPORTRANGE(""https://docs.google.com/spreadsheets/d/1Yj_ptqi66GCucihVvJfMjLAmec39IyEx_6qawtMGysU/edit?usp=sharing"",""สบก!CT23"")"),0)</f>
        <v>0</v>
      </c>
      <c r="N294" s="177">
        <f ca="1">IFERROR(__xludf.DUMMYFUNCTION("IMPORTRANGE(""https://docs.google.com/spreadsheets/d/1Yj_ptqi66GCucihVvJfMjLAmec39IyEx_6qawtMGysU/edit?usp=sharing"",""สบก!CU23"")"),0)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IFERROR(__xludf.DUMMYFUNCTION("IMPORTRANGE(""https://docs.google.com/spreadsheets/d/1Yj_ptqi66GCucihVvJfMjLAmec39IyEx_6qawtMGysU/edit?usp=sharing"",""สบก!CP23"")"),0)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IFERROR(__xludf.DUMMYFUNCTION("IMPORTRANGE(""https://docs.google.com/spreadsheets/d/1Yj_ptqi66GCucihVvJfMjLAmec39IyEx_6qawtMGysU/edit?usp=sharing"",""สบก!CQ23"")"),0)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IFERROR(__xludf.DUMMYFUNCTION("IMPORTRANGE(""https://docs.google.com/spreadsheets/d/1Yj_ptqi66GCucihVvJfMjLAmec39IyEx_6qawtMGysU/edit?usp=sharing"",""สบก!CR23"")"),0)</f>
        <v>0</v>
      </c>
      <c r="M298" s="103"/>
      <c r="N298" s="93">
        <f ca="1">IFERROR(__xludf.DUMMYFUNCTION("IMPORTRANGE(""https://docs.google.com/spreadsheets/d/1Yj_ptqi66GCucihVvJfMjLAmec39IyEx_6qawtMGysU/edit?usp=sharing"",""สบก!CV23"")"),0)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IFERROR(__xludf.DUMMYFUNCTION("IMPORTRANGE(""https://docs.google.com/spreadsheets/d/11923uPwbBZFjjGgGUA6NLw09EwE0CqkOc4q9oUmW1yo/edit?usp=sharing"",""ตาก!J205"")"),0)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IFERROR(__xludf.DUMMYFUNCTION("IMPORTRANGE(""https://docs.google.com/spreadsheets/d/11923uPwbBZFjjGgGUA6NLw09EwE0CqkOc4q9oUmW1yo/edit?usp=sharing"",""ตาก!J206"")"),0)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IFERROR(__xludf.DUMMYFUNCTION("IMPORTRANGE(""https://docs.google.com/spreadsheets/d/11923uPwbBZFjjGgGUA6NLw09EwE0CqkOc4q9oUmW1yo/edit?usp=sharing"",""ตาก!J207"")"),0)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IFERROR(__xludf.DUMMYFUNCTION("IMPORTRANGE(""https://docs.google.com/spreadsheets/d/11923uPwbBZFjjGgGUA6NLw09EwE0CqkOc4q9oUmW1yo/edit?usp=sharing"",""ตาก!J208"")"),0)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IFERROR(__xludf.DUMMYFUNCTION("IMPORTRANGE(""https://docs.google.com/spreadsheets/d/11923uPwbBZFjjGgGUA6NLw09EwE0CqkOc4q9oUmW1yo/edit?usp=sharing"",""ตาก!I209"")"),0)</f>
        <v>0</v>
      </c>
      <c r="J304" s="213">
        <f ca="1">IFERROR(__xludf.DUMMYFUNCTION("IMPORTRANGE(""https://docs.google.com/spreadsheets/d/11923uPwbBZFjjGgGUA6NLw09EwE0CqkOc4q9oUmW1yo/edit?usp=sharing"",""ตาก!J209"")"),0)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IFERROR(__xludf.DUMMYFUNCTION("IMPORTRANGE(""https://docs.google.com/spreadsheets/d/11923uPwbBZFjjGgGUA6NLw09EwE0CqkOc4q9oUmW1yo/edit?usp=sharing"",""ตาก!I211"")"),0)</f>
        <v>0</v>
      </c>
      <c r="J306" s="213">
        <f ca="1">IFERROR(__xludf.DUMMYFUNCTION("IMPORTRANGE(""https://docs.google.com/spreadsheets/d/11923uPwbBZFjjGgGUA6NLw09EwE0CqkOc4q9oUmW1yo/edit?usp=sharing"",""ตาก!J211"")"),0)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IFERROR(__xludf.DUMMYFUNCTION("IMPORTRANGE(""https://docs.google.com/spreadsheets/d/11923uPwbBZFjjGgGUA6NLw09EwE0CqkOc4q9oUmW1yo/edit?usp=sharing"",""ตาก!J212"")"),0)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IFERROR(__xludf.DUMMYFUNCTION("IMPORTRANGE(""https://docs.google.com/spreadsheets/d/11923uPwbBZFjjGgGUA6NLw09EwE0CqkOc4q9oUmW1yo/edit?usp=sharing"",""ตาก!J213"")"),0)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IFERROR(__xludf.DUMMYFUNCTION("IMPORTRANGE(""https://docs.google.com/spreadsheets/d/11923uPwbBZFjjGgGUA6NLw09EwE0CqkOc4q9oUmW1yo/edit?usp=sharing"",""ตาก!I214"")"),0)</f>
        <v>0</v>
      </c>
      <c r="J309" s="341">
        <f ca="1">IFERROR(__xludf.DUMMYFUNCTION("IMPORTRANGE(""https://docs.google.com/spreadsheets/d/11923uPwbBZFjjGgGUA6NLw09EwE0CqkOc4q9oUmW1yo/edit?usp=sharing"",""ตาก!J214"")"),0)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IFERROR(__xludf.DUMMYFUNCTION("IMPORTRANGE(""https://docs.google.com/spreadsheets/d/1Yj_ptqi66GCucihVvJfMjLAmec39IyEx_6qawtMGysU/edit?usp=sharing"",""สบก!DC23"")"),0)</f>
        <v>0</v>
      </c>
      <c r="N314" s="177">
        <f ca="1">IFERROR(__xludf.DUMMYFUNCTION("IMPORTRANGE(""https://docs.google.com/spreadsheets/d/1Yj_ptqi66GCucihVvJfMjLAmec39IyEx_6qawtMGysU/edit?usp=sharing"",""สบก!DD23"")"),0)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IFERROR(__xludf.DUMMYFUNCTION("IMPORTRANGE(""https://docs.google.com/spreadsheets/d/1Yj_ptqi66GCucihVvJfMjLAmec39IyEx_6qawtMGysU/edit?usp=sharing"",""สบก!CY23"")"),0)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IFERROR(__xludf.DUMMYFUNCTION("IMPORTRANGE(""https://docs.google.com/spreadsheets/d/1Yj_ptqi66GCucihVvJfMjLAmec39IyEx_6qawtMGysU/edit?usp=sharing"",""สบก!CZ23"")"),0)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IFERROR(__xludf.DUMMYFUNCTION("IMPORTRANGE(""https://docs.google.com/spreadsheets/d/1Yj_ptqi66GCucihVvJfMjLAmec39IyEx_6qawtMGysU/edit?usp=sharing"",""สบก!DA23"")"),0)</f>
        <v>0</v>
      </c>
      <c r="M318" s="103"/>
      <c r="N318" s="93">
        <f ca="1">IFERROR(__xludf.DUMMYFUNCTION("IMPORTRANGE(""https://docs.google.com/spreadsheets/d/1Yj_ptqi66GCucihVvJfMjLAmec39IyEx_6qawtMGysU/edit?usp=sharing"",""สบก!DE23"")"),0)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IFERROR(__xludf.DUMMYFUNCTION("IMPORTRANGE(""https://docs.google.com/spreadsheets/d/11923uPwbBZFjjGgGUA6NLw09EwE0CqkOc4q9oUmW1yo/edit?usp=sharing"",""ตาก!J220"")"),0)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IFERROR(__xludf.DUMMYFUNCTION("IMPORTRANGE(""https://docs.google.com/spreadsheets/d/11923uPwbBZFjjGgGUA6NLw09EwE0CqkOc4q9oUmW1yo/edit?usp=sharing"",""ตาก!J221"")"),0)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IFERROR(__xludf.DUMMYFUNCTION("IMPORTRANGE(""https://docs.google.com/spreadsheets/d/11923uPwbBZFjjGgGUA6NLw09EwE0CqkOc4q9oUmW1yo/edit?usp=sharing"",""ตาก!J222"")"),0)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IFERROR(__xludf.DUMMYFUNCTION("IMPORTRANGE(""https://docs.google.com/spreadsheets/d/11923uPwbBZFjjGgGUA6NLw09EwE0CqkOc4q9oUmW1yo/edit?usp=sharing"",""ตาก!J223"")"),0)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IFERROR(__xludf.DUMMYFUNCTION("IMPORTRANGE(""https://docs.google.com/spreadsheets/d/11923uPwbBZFjjGgGUA6NLw09EwE0CqkOc4q9oUmW1yo/edit?usp=sharing"",""ตาก!I224"")"),0)</f>
        <v>0</v>
      </c>
      <c r="J324" s="213">
        <f ca="1">IFERROR(__xludf.DUMMYFUNCTION("IMPORTRANGE(""https://docs.google.com/spreadsheets/d/11923uPwbBZFjjGgGUA6NLw09EwE0CqkOc4q9oUmW1yo/edit?usp=sharing"",""ตาก!J224"")"),0)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IFERROR(__xludf.DUMMYFUNCTION("IMPORTRANGE(""https://docs.google.com/spreadsheets/d/11923uPwbBZFjjGgGUA6NLw09EwE0CqkOc4q9oUmW1yo/edit?usp=sharing"",""ตาก!J225"")"),0)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IFERROR(__xludf.DUMMYFUNCTION("IMPORTRANGE(""https://docs.google.com/spreadsheets/d/11923uPwbBZFjjGgGUA6NLw09EwE0CqkOc4q9oUmW1yo/edit?usp=sharing"",""ตาก!J226"")"),0)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IFERROR(__xludf.DUMMYFUNCTION("IMPORTRANGE(""https://docs.google.com/spreadsheets/d/11923uPwbBZFjjGgGUA6NLw09EwE0CqkOc4q9oUmW1yo/edit?usp=sharing"",""ตาก!I228"")"),215)</f>
        <v>215</v>
      </c>
      <c r="J328" s="347">
        <f ca="1">IFERROR(__xludf.DUMMYFUNCTION("IMPORTRANGE(""https://docs.google.com/spreadsheets/d/11923uPwbBZFjjGgGUA6NLw09EwE0CqkOc4q9oUmW1yo/edit?usp=sharing"",""ตาก!J228"")"),0)</f>
        <v>0</v>
      </c>
      <c r="K328" s="325">
        <f ca="1">IF(I328&gt;0,J328*100/I328,0)</f>
        <v>0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1107850</v>
      </c>
      <c r="M329" s="158">
        <f t="shared" ca="1" si="98"/>
        <v>516130</v>
      </c>
      <c r="N329" s="158">
        <f t="shared" ca="1" si="98"/>
        <v>518474</v>
      </c>
      <c r="O329" s="157">
        <f t="shared" ref="O329:O331" ca="1" si="99">IF(L329&gt;0,N329*100/L329,0)</f>
        <v>46.800018052985514</v>
      </c>
      <c r="P329" s="157">
        <f t="shared" ref="P329:P331" ca="1" si="100">IF(M329&gt;0,N329*100/M329,0)</f>
        <v>100.45414914847035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1107850</v>
      </c>
      <c r="M331" s="163">
        <f t="shared" ca="1" si="102"/>
        <v>516130</v>
      </c>
      <c r="N331" s="163">
        <f t="shared" ca="1" si="102"/>
        <v>518474</v>
      </c>
      <c r="O331" s="162">
        <f t="shared" ca="1" si="99"/>
        <v>46.800018052985514</v>
      </c>
      <c r="P331" s="162">
        <f t="shared" ca="1" si="100"/>
        <v>100.45414914847035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939650</v>
      </c>
      <c r="M333" s="176">
        <f ca="1">IFERROR(__xludf.DUMMYFUNCTION("IMPORTRANGE(""https://docs.google.com/spreadsheets/d/1Yj_ptqi66GCucihVvJfMjLAmec39IyEx_6qawtMGysU/edit?usp=sharing"",""สบก!DL23"")"),516130)</f>
        <v>516130</v>
      </c>
      <c r="N333" s="177">
        <f ca="1">IFERROR(__xludf.DUMMYFUNCTION("IMPORTRANGE(""https://docs.google.com/spreadsheets/d/1Yj_ptqi66GCucihVvJfMjLAmec39IyEx_6qawtMGysU/edit?usp=sharing"",""สบก!DM23"")"),380254)</f>
        <v>380254</v>
      </c>
      <c r="O333" s="178">
        <f ca="1">IF(L333&gt;0,N333*100/L333,0)</f>
        <v>40.467620922683977</v>
      </c>
      <c r="P333" s="178">
        <f ca="1">IF(M333&gt;0,N333*100/M333,0)</f>
        <v>73.67407436111057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IFERROR(__xludf.DUMMYFUNCTION("IMPORTRANGE(""https://docs.google.com/spreadsheets/d/1Yj_ptqi66GCucihVvJfMjLAmec39IyEx_6qawtMGysU/edit?usp=sharing"",""สบก!DH23"")"),496800)</f>
        <v>496800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IFERROR(__xludf.DUMMYFUNCTION("IMPORTRANGE(""https://docs.google.com/spreadsheets/d/1Yj_ptqi66GCucihVvJfMjLAmec39IyEx_6qawtMGysU/edit?usp=sharing"",""สบก!DI23"")"),442850)</f>
        <v>442850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IFERROR(__xludf.DUMMYFUNCTION("IMPORTRANGE(""https://docs.google.com/spreadsheets/d/1Yj_ptqi66GCucihVvJfMjLAmec39IyEx_6qawtMGysU/edit?usp=sharing"",""สบก!DJ23"")"),168200)</f>
        <v>168200</v>
      </c>
      <c r="M337" s="103"/>
      <c r="N337" s="93">
        <f ca="1">IFERROR(__xludf.DUMMYFUNCTION("IMPORTRANGE(""https://docs.google.com/spreadsheets/d/1Yj_ptqi66GCucihVvJfMjLAmec39IyEx_6qawtMGysU/edit?usp=sharing"",""สบก!DN23"")"),138220)</f>
        <v>138220</v>
      </c>
      <c r="O337" s="103">
        <f ca="1">IF(L337&gt;0,N337*100/L337,0)</f>
        <v>82.175980975029731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IFERROR(__xludf.DUMMYFUNCTION("IMPORTRANGE(""https://docs.google.com/spreadsheets/d/11923uPwbBZFjjGgGUA6NLw09EwE0CqkOc4q9oUmW1yo/edit?usp=sharing"",""ตาก!I234"")"),0)</f>
        <v>0</v>
      </c>
      <c r="J339" s="197">
        <f ca="1">IFERROR(__xludf.DUMMYFUNCTION("IMPORTRANGE(""https://docs.google.com/spreadsheets/d/11923uPwbBZFjjGgGUA6NLw09EwE0CqkOc4q9oUmW1yo/edit?usp=sharing"",""ตาก!J234"")"),72)</f>
        <v>72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IFERROR(__xludf.DUMMYFUNCTION("IMPORTRANGE(""https://docs.google.com/spreadsheets/d/11923uPwbBZFjjGgGUA6NLw09EwE0CqkOc4q9oUmW1yo/edit?usp=sharing"",""ตาก!I235"")"),3000)</f>
        <v>3000</v>
      </c>
      <c r="J340" s="197">
        <f ca="1">IFERROR(__xludf.DUMMYFUNCTION("IMPORTRANGE(""https://docs.google.com/spreadsheets/d/11923uPwbBZFjjGgGUA6NLw09EwE0CqkOc4q9oUmW1yo/edit?usp=sharing"",""ตาก!J235"")"),614.39)</f>
        <v>614.39</v>
      </c>
      <c r="K340" s="350">
        <f t="shared" ca="1" si="103"/>
        <v>20.479666666666667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IFERROR(__xludf.DUMMYFUNCTION("IMPORTRANGE(""https://docs.google.com/spreadsheets/d/11923uPwbBZFjjGgGUA6NLw09EwE0CqkOc4q9oUmW1yo/edit?usp=sharing"",""ตาก!I236"")"),215)</f>
        <v>215</v>
      </c>
      <c r="J341" s="197">
        <f ca="1">IFERROR(__xludf.DUMMYFUNCTION("IMPORTRANGE(""https://docs.google.com/spreadsheets/d/11923uPwbBZFjjGgGUA6NLw09EwE0CqkOc4q9oUmW1yo/edit?usp=sharing"",""ตาก!J236"")"),110)</f>
        <v>110</v>
      </c>
      <c r="K341" s="350">
        <f t="shared" ca="1" si="103"/>
        <v>51.162790697674417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IFERROR(__xludf.DUMMYFUNCTION("IMPORTRANGE(""https://docs.google.com/spreadsheets/d/11923uPwbBZFjjGgGUA6NLw09EwE0CqkOc4q9oUmW1yo/edit?usp=sharing"",""ตาก!I237"")"),0)</f>
        <v>0</v>
      </c>
      <c r="J342" s="197">
        <f ca="1">IFERROR(__xludf.DUMMYFUNCTION("IMPORTRANGE(""https://docs.google.com/spreadsheets/d/11923uPwbBZFjjGgGUA6NLw09EwE0CqkOc4q9oUmW1yo/edit?usp=sharing"",""ตาก!J237"")"),1009.94)</f>
        <v>1009.94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IFERROR(__xludf.DUMMYFUNCTION("IMPORTRANGE(""https://docs.google.com/spreadsheets/d/11923uPwbBZFjjGgGUA6NLw09EwE0CqkOc4q9oUmW1yo/edit?usp=sharing"",""ตาก!I238"")"),215)</f>
        <v>215</v>
      </c>
      <c r="J343" s="197">
        <f ca="1">IFERROR(__xludf.DUMMYFUNCTION("IMPORTRANGE(""https://docs.google.com/spreadsheets/d/11923uPwbBZFjjGgGUA6NLw09EwE0CqkOc4q9oUmW1yo/edit?usp=sharing"",""ตาก!J238"")"),0)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IFERROR(__xludf.DUMMYFUNCTION("IMPORTRANGE(""https://docs.google.com/spreadsheets/d/11923uPwbBZFjjGgGUA6NLw09EwE0CqkOc4q9oUmW1yo/edit?usp=sharing"",""ตาก!I239"")"),0)</f>
        <v>0</v>
      </c>
      <c r="J344" s="197">
        <f ca="1">IFERROR(__xludf.DUMMYFUNCTION("IMPORTRANGE(""https://docs.google.com/spreadsheets/d/11923uPwbBZFjjGgGUA6NLw09EwE0CqkOc4q9oUmW1yo/edit?usp=sharing"",""ตาก!J239"")"),0)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IFERROR(__xludf.DUMMYFUNCTION("IMPORTRANGE(""https://docs.google.com/spreadsheets/d/11923uPwbBZFjjGgGUA6NLw09EwE0CqkOc4q9oUmW1yo/edit?usp=sharing"",""ตาก!I240"")"),215)</f>
        <v>215</v>
      </c>
      <c r="J345" s="197">
        <f ca="1">IFERROR(__xludf.DUMMYFUNCTION("IMPORTRANGE(""https://docs.google.com/spreadsheets/d/11923uPwbBZFjjGgGUA6NLw09EwE0CqkOc4q9oUmW1yo/edit?usp=sharing"",""ตาก!J240"")"),0)</f>
        <v>0</v>
      </c>
      <c r="K345" s="350">
        <f t="shared" ca="1" si="103"/>
        <v>0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IFERROR(__xludf.DUMMYFUNCTION("IMPORTRANGE(""https://docs.google.com/spreadsheets/d/11923uPwbBZFjjGgGUA6NLw09EwE0CqkOc4q9oUmW1yo/edit?usp=sharing"",""ตาก!I241"")"),0)</f>
        <v>0</v>
      </c>
      <c r="J346" s="197">
        <f ca="1">IFERROR(__xludf.DUMMYFUNCTION("IMPORTRANGE(""https://docs.google.com/spreadsheets/d/11923uPwbBZFjjGgGUA6NLw09EwE0CqkOc4q9oUmW1yo/edit?usp=sharing"",""ตาก!J241"")"),0)</f>
        <v>0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IFERROR(__xludf.DUMMYFUNCTION("IMPORTRANGE(""https://docs.google.com/spreadsheets/d/11923uPwbBZFjjGgGUA6NLw09EwE0CqkOc4q9oUmW1yo/edit?usp=sharing"",""ตาก!L242"")"),1788228)</f>
        <v>1788228</v>
      </c>
      <c r="M347" s="366"/>
      <c r="N347" s="366">
        <f ca="1">IFERROR(__xludf.DUMMYFUNCTION("IMPORTRANGE(""https://docs.google.com/spreadsheets/d/11923uPwbBZFjjGgGUA6NLw09EwE0CqkOc4q9oUmW1yo/edit?usp=sharing"",""ตาก!M242"")"),276429)</f>
        <v>276429</v>
      </c>
      <c r="O347" s="366">
        <f ca="1">+IF(L347&gt;0,N347*100/L347,0)</f>
        <v>15.458263711338823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IFERROR(__xludf.DUMMYFUNCTION("IMPORTRANGE(""https://docs.google.com/spreadsheets/d/11923uPwbBZFjjGgGUA6NLw09EwE0CqkOc4q9oUmW1yo/edit?usp=sharing"",""ตาก!I244"")"),0)</f>
        <v>0</v>
      </c>
      <c r="J349" s="379">
        <f ca="1">IFERROR(__xludf.DUMMYFUNCTION("IMPORTRANGE(""https://docs.google.com/spreadsheets/d/11923uPwbBZFjjGgGUA6NLw09EwE0CqkOc4q9oUmW1yo/edit?usp=sharing"",""ตาก!J244"")"),0)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IFERROR(__xludf.DUMMYFUNCTION("IMPORTRANGE(""https://docs.google.com/spreadsheets/d/11923uPwbBZFjjGgGUA6NLw09EwE0CqkOc4q9oUmW1yo/edit?usp=sharing"",""ตาก!L244"")"),0)</f>
        <v>0</v>
      </c>
      <c r="M349" s="381"/>
      <c r="N349" s="381">
        <f ca="1">IFERROR(__xludf.DUMMYFUNCTION("IMPORTRANGE(""https://docs.google.com/spreadsheets/d/11923uPwbBZFjjGgGUA6NLw09EwE0CqkOc4q9oUmW1yo/edit?usp=sharing"",""ตาก!M244"")"),0)</f>
        <v>0</v>
      </c>
      <c r="O349" s="381">
        <f ca="1">+IF(L349&gt;0,N349*100/L349,0)</f>
        <v>0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IFERROR(__xludf.DUMMYFUNCTION("IMPORTRANGE(""https://docs.google.com/spreadsheets/d/11923uPwbBZFjjGgGUA6NLw09EwE0CqkOc4q9oUmW1yo/edit?usp=sharing"",""ตาก!I245"")"),0)</f>
        <v>0</v>
      </c>
      <c r="J350" s="379">
        <f ca="1">IFERROR(__xludf.DUMMYFUNCTION("IMPORTRANGE(""https://docs.google.com/spreadsheets/d/11923uPwbBZFjjGgGUA6NLw09EwE0CqkOc4q9oUmW1yo/edit?usp=sharing"",""ตาก!J245"")"),0)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IFERROR(__xludf.DUMMYFUNCTION("IMPORTRANGE(""https://docs.google.com/spreadsheets/d/11923uPwbBZFjjGgGUA6NLw09EwE0CqkOc4q9oUmW1yo/edit?usp=sharing"",""ตาก!L246"")"),0)</f>
        <v>0</v>
      </c>
      <c r="M351" s="172"/>
      <c r="N351" s="172">
        <f ca="1">IFERROR(__xludf.DUMMYFUNCTION("IMPORTRANGE(""https://docs.google.com/spreadsheets/d/11923uPwbBZFjjGgGUA6NLw09EwE0CqkOc4q9oUmW1yo/edit?usp=sharing"",""ตาก!M246"")"),0)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IFERROR(__xludf.DUMMYFUNCTION("IMPORTRANGE(""https://docs.google.com/spreadsheets/d/11923uPwbBZFjjGgGUA6NLw09EwE0CqkOc4q9oUmW1yo/edit?usp=sharing"",""ตาก!L247"")"),0)</f>
        <v>0</v>
      </c>
      <c r="M352" s="173"/>
      <c r="N352" s="172">
        <f ca="1">IFERROR(__xludf.DUMMYFUNCTION("IMPORTRANGE(""https://docs.google.com/spreadsheets/d/11923uPwbBZFjjGgGUA6NLw09EwE0CqkOc4q9oUmW1yo/edit?usp=sharing"",""ตาก!M247"")"),0)</f>
        <v>0</v>
      </c>
      <c r="O352" s="173">
        <f t="shared" ca="1" si="105"/>
        <v>0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IFERROR(__xludf.DUMMYFUNCTION("IMPORTRANGE(""https://docs.google.com/spreadsheets/d/11923uPwbBZFjjGgGUA6NLw09EwE0CqkOc4q9oUmW1yo/edit?usp=sharing"",""ตาก!L248"")"),0)</f>
        <v>0</v>
      </c>
      <c r="M353" s="178"/>
      <c r="N353" s="178">
        <f ca="1">IFERROR(__xludf.DUMMYFUNCTION("IMPORTRANGE(""https://docs.google.com/spreadsheets/d/11923uPwbBZFjjGgGUA6NLw09EwE0CqkOc4q9oUmW1yo/edit?usp=sharing"",""ตาก!M248"")"),0)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IFERROR(__xludf.DUMMYFUNCTION("IMPORTRANGE(""https://docs.google.com/spreadsheets/d/11923uPwbBZFjjGgGUA6NLw09EwE0CqkOc4q9oUmW1yo/edit?usp=sharing"",""ตาก!L249"")"),0)</f>
        <v>0</v>
      </c>
      <c r="M354" s="178"/>
      <c r="N354" s="175">
        <f ca="1">IFERROR(__xludf.DUMMYFUNCTION("IMPORTRANGE(""https://docs.google.com/spreadsheets/d/11923uPwbBZFjjGgGUA6NLw09EwE0CqkOc4q9oUmW1yo/edit?usp=sharing"",""ตาก!M249"")"),0)</f>
        <v>0</v>
      </c>
      <c r="O354" s="178">
        <f t="shared" ca="1" si="105"/>
        <v>0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IFERROR(__xludf.DUMMYFUNCTION("IMPORTRANGE(""https://docs.google.com/spreadsheets/d/11923uPwbBZFjjGgGUA6NLw09EwE0CqkOc4q9oUmW1yo/edit?usp=sharing"",""ตาก!M250"")"),0)</f>
        <v>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IFERROR(__xludf.DUMMYFUNCTION("IMPORTRANGE(""https://docs.google.com/spreadsheets/d/11923uPwbBZFjjGgGUA6NLw09EwE0CqkOc4q9oUmW1yo/edit?usp=sharing"",""ตาก!M251"")"),0)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IFERROR(__xludf.DUMMYFUNCTION("IMPORTRANGE(""https://docs.google.com/spreadsheets/d/11923uPwbBZFjjGgGUA6NLw09EwE0CqkOc4q9oUmW1yo/edit?usp=sharing"",""ตาก!M252"")"),0)</f>
        <v>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IFERROR(__xludf.DUMMYFUNCTION("IMPORTRANGE(""https://docs.google.com/spreadsheets/d/11923uPwbBZFjjGgGUA6NLw09EwE0CqkOc4q9oUmW1yo/edit?usp=sharing"",""ตาก!M253"")"),0)</f>
        <v>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IFERROR(__xludf.DUMMYFUNCTION("IMPORTRANGE(""https://docs.google.com/spreadsheets/d/11923uPwbBZFjjGgGUA6NLw09EwE0CqkOc4q9oUmW1yo/edit?usp=sharing"",""ตาก!J255"")"),0)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IFERROR(__xludf.DUMMYFUNCTION("IMPORTRANGE(""https://docs.google.com/spreadsheets/d/11923uPwbBZFjjGgGUA6NLw09EwE0CqkOc4q9oUmW1yo/edit?usp=sharing"",""ตาก!J256"")"),0)</f>
        <v>0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IFERROR(__xludf.DUMMYFUNCTION("IMPORTRANGE(""https://docs.google.com/spreadsheets/d/11923uPwbBZFjjGgGUA6NLw09EwE0CqkOc4q9oUmW1yo/edit?usp=sharing"",""ตาก!J257"")"),0)</f>
        <v>0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IFERROR(__xludf.DUMMYFUNCTION("IMPORTRANGE(""https://docs.google.com/spreadsheets/d/11923uPwbBZFjjGgGUA6NLw09EwE0CqkOc4q9oUmW1yo/edit?usp=sharing"",""ตาก!J258"")"),0)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IFERROR(__xludf.DUMMYFUNCTION("IMPORTRANGE(""https://docs.google.com/spreadsheets/d/11923uPwbBZFjjGgGUA6NLw09EwE0CqkOc4q9oUmW1yo/edit?usp=sharing"",""ตาก!J166"")"),0)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IFERROR(__xludf.DUMMYFUNCTION("IMPORTRANGE(""https://docs.google.com/spreadsheets/d/11923uPwbBZFjjGgGUA6NLw09EwE0CqkOc4q9oUmW1yo/edit?usp=sharing"",""ตาก!J166"")"),0)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IFERROR(__xludf.DUMMYFUNCTION("IMPORTRANGE(""https://docs.google.com/spreadsheets/d/11923uPwbBZFjjGgGUA6NLw09EwE0CqkOc4q9oUmW1yo/edit?usp=sharing"",""ตาก!J166"")"),0)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IFERROR(__xludf.DUMMYFUNCTION("IMPORTRANGE(""https://docs.google.com/spreadsheets/d/11923uPwbBZFjjGgGUA6NLw09EwE0CqkOc4q9oUmW1yo/edit?usp=sharing"",""ตาก!J166"")"),0)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IFERROR(__xludf.DUMMYFUNCTION("IMPORTRANGE(""https://docs.google.com/spreadsheets/d/11923uPwbBZFjjGgGUA6NLw09EwE0CqkOc4q9oUmW1yo/edit?usp=sharing"",""ตาก!I263"")"),0)</f>
        <v>0</v>
      </c>
      <c r="J368" s="197">
        <f ca="1">IFERROR(__xludf.DUMMYFUNCTION("IMPORTRANGE(""https://docs.google.com/spreadsheets/d/11923uPwbBZFjjGgGUA6NLw09EwE0CqkOc4q9oUmW1yo/edit?usp=sharing"",""ตาก!J263"")"),0)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IFERROR(__xludf.DUMMYFUNCTION("IMPORTRANGE(""https://docs.google.com/spreadsheets/d/11923uPwbBZFjjGgGUA6NLw09EwE0CqkOc4q9oUmW1yo/edit?usp=sharing"",""ตาก!I164"")"),0)</f>
        <v>0</v>
      </c>
      <c r="J369" s="213">
        <f ca="1">IFERROR(__xludf.DUMMYFUNCTION("IMPORTRANGE(""https://docs.google.com/spreadsheets/d/11923uPwbBZFjjGgGUA6NLw09EwE0CqkOc4q9oUmW1yo/edit?usp=sharing"",""ตาก!J164"")"),0)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IFERROR(__xludf.DUMMYFUNCTION("IMPORTRANGE(""https://docs.google.com/spreadsheets/d/11923uPwbBZFjjGgGUA6NLw09EwE0CqkOc4q9oUmW1yo/edit?usp=sharing"",""ตาก!I265"")"),0)</f>
        <v>0</v>
      </c>
      <c r="J370" s="213">
        <f ca="1">IFERROR(__xludf.DUMMYFUNCTION("IMPORTRANGE(""https://docs.google.com/spreadsheets/d/11923uPwbBZFjjGgGUA6NLw09EwE0CqkOc4q9oUmW1yo/edit?usp=sharing"",""ตาก!J265"")"),0)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IFERROR(__xludf.DUMMYFUNCTION("IMPORTRANGE(""https://docs.google.com/spreadsheets/d/11923uPwbBZFjjGgGUA6NLw09EwE0CqkOc4q9oUmW1yo/edit?usp=sharing"",""ตาก!I164"")"),0)</f>
        <v>0</v>
      </c>
      <c r="J371" s="198">
        <f ca="1">IFERROR(__xludf.DUMMYFUNCTION("IMPORTRANGE(""https://docs.google.com/spreadsheets/d/11923uPwbBZFjjGgGUA6NLw09EwE0CqkOc4q9oUmW1yo/edit?usp=sharing"",""ตาก!J164"")"),0)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IFERROR(__xludf.DUMMYFUNCTION("IMPORTRANGE(""https://docs.google.com/spreadsheets/d/11923uPwbBZFjjGgGUA6NLw09EwE0CqkOc4q9oUmW1yo/edit?usp=sharing"",""ตาก!I267"")"),0)</f>
        <v>0</v>
      </c>
      <c r="J372" s="198">
        <f ca="1">IFERROR(__xludf.DUMMYFUNCTION("IMPORTRANGE(""https://docs.google.com/spreadsheets/d/11923uPwbBZFjjGgGUA6NLw09EwE0CqkOc4q9oUmW1yo/edit?usp=sharing"",""ตาก!J267"")"),0)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IFERROR(__xludf.DUMMYFUNCTION("IMPORTRANGE(""https://docs.google.com/spreadsheets/d/11923uPwbBZFjjGgGUA6NLw09EwE0CqkOc4q9oUmW1yo/edit?usp=sharing"",""ตาก!I164"")"),0)</f>
        <v>0</v>
      </c>
      <c r="J373" s="213">
        <f ca="1">IFERROR(__xludf.DUMMYFUNCTION("IMPORTRANGE(""https://docs.google.com/spreadsheets/d/11923uPwbBZFjjGgGUA6NLw09EwE0CqkOc4q9oUmW1yo/edit?usp=sharing"",""ตาก!J164"")"),0)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IFERROR(__xludf.DUMMYFUNCTION("IMPORTRANGE(""https://docs.google.com/spreadsheets/d/11923uPwbBZFjjGgGUA6NLw09EwE0CqkOc4q9oUmW1yo/edit?usp=sharing"",""ตาก!I164"")"),0)</f>
        <v>0</v>
      </c>
      <c r="J374" s="197">
        <f ca="1">IFERROR(__xludf.DUMMYFUNCTION("IMPORTRANGE(""https://docs.google.com/spreadsheets/d/11923uPwbBZFjjGgGUA6NLw09EwE0CqkOc4q9oUmW1yo/edit?usp=sharing"",""ตาก!J164"")"),0)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IFERROR(__xludf.DUMMYFUNCTION("IMPORTRANGE(""https://docs.google.com/spreadsheets/d/11923uPwbBZFjjGgGUA6NLw09EwE0CqkOc4q9oUmW1yo/edit?usp=sharing"",""ตาก!I270"")"),0)</f>
        <v>0</v>
      </c>
      <c r="J375" s="197">
        <f ca="1">IFERROR(__xludf.DUMMYFUNCTION("IMPORTRANGE(""https://docs.google.com/spreadsheets/d/11923uPwbBZFjjGgGUA6NLw09EwE0CqkOc4q9oUmW1yo/edit?usp=sharing"",""ตาก!J270"")"),0)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IFERROR(__xludf.DUMMYFUNCTION("IMPORTRANGE(""https://docs.google.com/spreadsheets/d/11923uPwbBZFjjGgGUA6NLw09EwE0CqkOc4q9oUmW1yo/edit?usp=sharing"",""ตาก!I271"")"),0)</f>
        <v>0</v>
      </c>
      <c r="J376" s="198">
        <f ca="1">IFERROR(__xludf.DUMMYFUNCTION("IMPORTRANGE(""https://docs.google.com/spreadsheets/d/11923uPwbBZFjjGgGUA6NLw09EwE0CqkOc4q9oUmW1yo/edit?usp=sharing"",""ตาก!J271"")"),0)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IFERROR(__xludf.DUMMYFUNCTION("IMPORTRANGE(""https://docs.google.com/spreadsheets/d/11923uPwbBZFjjGgGUA6NLw09EwE0CqkOc4q9oUmW1yo/edit?usp=sharing"",""ตาก!I272"")"),0)</f>
        <v>0</v>
      </c>
      <c r="J377" s="213">
        <f ca="1">IFERROR(__xludf.DUMMYFUNCTION("IMPORTRANGE(""https://docs.google.com/spreadsheets/d/11923uPwbBZFjjGgGUA6NLw09EwE0CqkOc4q9oUmW1yo/edit?usp=sharing"",""ตาก!J272"")"),0)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IFERROR(__xludf.DUMMYFUNCTION("IMPORTRANGE(""https://docs.google.com/spreadsheets/d/11923uPwbBZFjjGgGUA6NLw09EwE0CqkOc4q9oUmW1yo/edit?usp=sharing"",""ตาก!J273"")"),0)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IFERROR(__xludf.DUMMYFUNCTION("IMPORTRANGE(""https://docs.google.com/spreadsheets/d/11923uPwbBZFjjGgGUA6NLw09EwE0CqkOc4q9oUmW1yo/edit?usp=sharing"",""ตาก!J274"")"),0)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IFERROR(__xludf.DUMMYFUNCTION("IMPORTRANGE(""https://docs.google.com/spreadsheets/d/11923uPwbBZFjjGgGUA6NLw09EwE0CqkOc4q9oUmW1yo/edit?usp=sharing"",""ตาก!I275"")"),500)</f>
        <v>500</v>
      </c>
      <c r="J380" s="379">
        <f ca="1">IFERROR(__xludf.DUMMYFUNCTION("IMPORTRANGE(""https://docs.google.com/spreadsheets/d/11923uPwbBZFjjGgGUA6NLw09EwE0CqkOc4q9oUmW1yo/edit?usp=sharing"",""ตาก!J275"")"),0)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IFERROR(__xludf.DUMMYFUNCTION("IMPORTRANGE(""https://docs.google.com/spreadsheets/d/11923uPwbBZFjjGgGUA6NLw09EwE0CqkOc4q9oUmW1yo/edit?usp=sharing"",""ตาก!L275"")"),460140)</f>
        <v>460140</v>
      </c>
      <c r="M380" s="381"/>
      <c r="N380" s="381">
        <f ca="1">IFERROR(__xludf.DUMMYFUNCTION("IMPORTRANGE(""https://docs.google.com/spreadsheets/d/11923uPwbBZFjjGgGUA6NLw09EwE0CqkOc4q9oUmW1yo/edit?usp=sharing"",""ตาก!M275"")"),89000)</f>
        <v>89000</v>
      </c>
      <c r="O380" s="381">
        <f ca="1">+IF(L380&gt;0,N380*100/L380,0)</f>
        <v>19.34193940974486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IFERROR(__xludf.DUMMYFUNCTION("IMPORTRANGE(""https://docs.google.com/spreadsheets/d/11923uPwbBZFjjGgGUA6NLw09EwE0CqkOc4q9oUmW1yo/edit?usp=sharing"",""ตาก!I276"")"),50)</f>
        <v>50</v>
      </c>
      <c r="J381" s="379">
        <f ca="1">IFERROR(__xludf.DUMMYFUNCTION("IMPORTRANGE(""https://docs.google.com/spreadsheets/d/11923uPwbBZFjjGgGUA6NLw09EwE0CqkOc4q9oUmW1yo/edit?usp=sharing"",""ตาก!J276"")"),50)</f>
        <v>50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IFERROR(__xludf.DUMMYFUNCTION("IMPORTRANGE(""https://docs.google.com/spreadsheets/d/11923uPwbBZFjjGgGUA6NLw09EwE0CqkOc4q9oUmW1yo/edit?usp=sharing"",""ตาก!L277"")"),0)</f>
        <v>0</v>
      </c>
      <c r="M382" s="172"/>
      <c r="N382" s="172">
        <f ca="1">IFERROR(__xludf.DUMMYFUNCTION("IMPORTRANGE(""https://docs.google.com/spreadsheets/d/11923uPwbBZFjjGgGUA6NLw09EwE0CqkOc4q9oUmW1yo/edit?usp=sharing"",""ตาก!M277"")"),0)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IFERROR(__xludf.DUMMYFUNCTION("IMPORTRANGE(""https://docs.google.com/spreadsheets/d/11923uPwbBZFjjGgGUA6NLw09EwE0CqkOc4q9oUmW1yo/edit?usp=sharing"",""ตาก!L278"")"),460140)</f>
        <v>460140</v>
      </c>
      <c r="M383" s="173"/>
      <c r="N383" s="173">
        <f ca="1">IFERROR(__xludf.DUMMYFUNCTION("IMPORTRANGE(""https://docs.google.com/spreadsheets/d/11923uPwbBZFjjGgGUA6NLw09EwE0CqkOc4q9oUmW1yo/edit?usp=sharing"",""ตาก!M278"")"),89000)</f>
        <v>89000</v>
      </c>
      <c r="O383" s="173">
        <f t="shared" ca="1" si="109"/>
        <v>19.34193940974486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IFERROR(__xludf.DUMMYFUNCTION("IMPORTRANGE(""https://docs.google.com/spreadsheets/d/11923uPwbBZFjjGgGUA6NLw09EwE0CqkOc4q9oUmW1yo/edit?usp=sharing"",""ตาก!L279"")"),0)</f>
        <v>0</v>
      </c>
      <c r="M384" s="178"/>
      <c r="N384" s="178">
        <f ca="1">IFERROR(__xludf.DUMMYFUNCTION("IMPORTRANGE(""https://docs.google.com/spreadsheets/d/11923uPwbBZFjjGgGUA6NLw09EwE0CqkOc4q9oUmW1yo/edit?usp=sharing"",""ตาก!M279"")"),0)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IFERROR(__xludf.DUMMYFUNCTION("IMPORTRANGE(""https://docs.google.com/spreadsheets/d/11923uPwbBZFjjGgGUA6NLw09EwE0CqkOc4q9oUmW1yo/edit?usp=sharing"",""ตาก!L280"")"),460140)</f>
        <v>460140</v>
      </c>
      <c r="M385" s="178"/>
      <c r="N385" s="175">
        <f ca="1">IFERROR(__xludf.DUMMYFUNCTION("IMPORTRANGE(""https://docs.google.com/spreadsheets/d/11923uPwbBZFjjGgGUA6NLw09EwE0CqkOc4q9oUmW1yo/edit?usp=sharing"",""ตาก!M280"")"),89000)</f>
        <v>89000</v>
      </c>
      <c r="O385" s="178">
        <f t="shared" ca="1" si="109"/>
        <v>19.34193940974486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IFERROR(__xludf.DUMMYFUNCTION("IMPORTRANGE(""https://docs.google.com/spreadsheets/d/11923uPwbBZFjjGgGUA6NLw09EwE0CqkOc4q9oUmW1yo/edit?usp=sharing"",""ตาก!M281"")"),78220)</f>
        <v>78220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IFERROR(__xludf.DUMMYFUNCTION("IMPORTRANGE(""https://docs.google.com/spreadsheets/d/11923uPwbBZFjjGgGUA6NLw09EwE0CqkOc4q9oUmW1yo/edit?usp=sharing"",""ตาก!M282"")"),0)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IFERROR(__xludf.DUMMYFUNCTION("IMPORTRANGE(""https://docs.google.com/spreadsheets/d/11923uPwbBZFjjGgGUA6NLw09EwE0CqkOc4q9oUmW1yo/edit?usp=sharing"",""ตาก!M283"")"),0)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IFERROR(__xludf.DUMMYFUNCTION("IMPORTRANGE(""https://docs.google.com/spreadsheets/d/11923uPwbBZFjjGgGUA6NLw09EwE0CqkOc4q9oUmW1yo/edit?usp=sharing"",""ตาก!M284"")"),10780)</f>
        <v>10780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IFERROR(__xludf.DUMMYFUNCTION("IMPORTRANGE(""https://docs.google.com/spreadsheets/d/11923uPwbBZFjjGgGUA6NLw09EwE0CqkOc4q9oUmW1yo/edit?usp=sharing"",""ตาก!J286"")"),0)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IFERROR(__xludf.DUMMYFUNCTION("IMPORTRANGE(""https://docs.google.com/spreadsheets/d/11923uPwbBZFjjGgGUA6NLw09EwE0CqkOc4q9oUmW1yo/edit?usp=sharing"",""ตาก!J287"")"),1)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IFERROR(__xludf.DUMMYFUNCTION("IMPORTRANGE(""https://docs.google.com/spreadsheets/d/11923uPwbBZFjjGgGUA6NLw09EwE0CqkOc4q9oUmW1yo/edit?usp=sharing"",""ตาก!J288"")"),1)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IFERROR(__xludf.DUMMYFUNCTION("IMPORTRANGE(""https://docs.google.com/spreadsheets/d/11923uPwbBZFjjGgGUA6NLw09EwE0CqkOc4q9oUmW1yo/edit?usp=sharing"",""ตาก!J289"")"),1)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IFERROR(__xludf.DUMMYFUNCTION("IMPORTRANGE(""https://docs.google.com/spreadsheets/d/11923uPwbBZFjjGgGUA6NLw09EwE0CqkOc4q9oUmW1yo/edit?usp=sharing"",""ตาก!I291"")"),50)</f>
        <v>50</v>
      </c>
      <c r="J396" s="207">
        <f ca="1">IFERROR(__xludf.DUMMYFUNCTION("IMPORTRANGE(""https://docs.google.com/spreadsheets/d/11923uPwbBZFjjGgGUA6NLw09EwE0CqkOc4q9oUmW1yo/edit?usp=sharing"",""ตาก!J291"")"),50)</f>
        <v>50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IFERROR(__xludf.DUMMYFUNCTION("IMPORTRANGE(""https://docs.google.com/spreadsheets/d/11923uPwbBZFjjGgGUA6NLw09EwE0CqkOc4q9oUmW1yo/edit?usp=sharing"",""ตาก!I292"")"),500)</f>
        <v>500</v>
      </c>
      <c r="J397" s="207">
        <f ca="1">IFERROR(__xludf.DUMMYFUNCTION("IMPORTRANGE(""https://docs.google.com/spreadsheets/d/11923uPwbBZFjjGgGUA6NLw09EwE0CqkOc4q9oUmW1yo/edit?usp=sharing"",""ตาก!J292"")"),0)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IFERROR(__xludf.DUMMYFUNCTION("IMPORTRANGE(""https://docs.google.com/spreadsheets/d/11923uPwbBZFjjGgGUA6NLw09EwE0CqkOc4q9oUmW1yo/edit?usp=sharing"",""ตาก!I293"")"),50)</f>
        <v>50</v>
      </c>
      <c r="J398" s="207">
        <f ca="1">IFERROR(__xludf.DUMMYFUNCTION("IMPORTRANGE(""https://docs.google.com/spreadsheets/d/11923uPwbBZFjjGgGUA6NLw09EwE0CqkOc4q9oUmW1yo/edit?usp=sharing"",""ตาก!J293"")"),0)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IFERROR(__xludf.DUMMYFUNCTION("IMPORTRANGE(""https://docs.google.com/spreadsheets/d/11923uPwbBZFjjGgGUA6NLw09EwE0CqkOc4q9oUmW1yo/edit?usp=sharing"",""ตาก!J294"")"),0)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IFERROR(__xludf.DUMMYFUNCTION("IMPORTRANGE(""https://docs.google.com/spreadsheets/d/11923uPwbBZFjjGgGUA6NLw09EwE0CqkOc4q9oUmW1yo/edit?usp=sharing"",""ตาก!J295"")"),0)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IFERROR(__xludf.DUMMYFUNCTION("IMPORTRANGE(""https://docs.google.com/spreadsheets/d/11923uPwbBZFjjGgGUA6NLw09EwE0CqkOc4q9oUmW1yo/edit?usp=sharing"",""ตาก!I296"")"),225)</f>
        <v>225</v>
      </c>
      <c r="J401" s="379">
        <f ca="1">IFERROR(__xludf.DUMMYFUNCTION("IMPORTRANGE(""https://docs.google.com/spreadsheets/d/11923uPwbBZFjjGgGUA6NLw09EwE0CqkOc4q9oUmW1yo/edit?usp=sharing"",""ตาก!J296"")"),0)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IFERROR(__xludf.DUMMYFUNCTION("IMPORTRANGE(""https://docs.google.com/spreadsheets/d/11923uPwbBZFjjGgGUA6NLw09EwE0CqkOc4q9oUmW1yo/edit?usp=sharing"",""ตาก!L296"")"),230370)</f>
        <v>230370</v>
      </c>
      <c r="M401" s="381"/>
      <c r="N401" s="381">
        <f ca="1">IFERROR(__xludf.DUMMYFUNCTION("IMPORTRANGE(""https://docs.google.com/spreadsheets/d/11923uPwbBZFjjGgGUA6NLw09EwE0CqkOc4q9oUmW1yo/edit?usp=sharing"",""ตาก!M296"")"),62250)</f>
        <v>62250</v>
      </c>
      <c r="O401" s="381">
        <f ca="1">+IF(L401&gt;0,N401*100/L401,0)</f>
        <v>27.02174762338846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IFERROR(__xludf.DUMMYFUNCTION("IMPORTRANGE(""https://docs.google.com/spreadsheets/d/11923uPwbBZFjjGgGUA6NLw09EwE0CqkOc4q9oUmW1yo/edit?usp=sharing"",""ตาก!I297"")"),75)</f>
        <v>75</v>
      </c>
      <c r="J402" s="379">
        <f ca="1">IFERROR(__xludf.DUMMYFUNCTION("IMPORTRANGE(""https://docs.google.com/spreadsheets/d/11923uPwbBZFjjGgGUA6NLw09EwE0CqkOc4q9oUmW1yo/edit?usp=sharing"",""ตาก!J297"")"),0)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IFERROR(__xludf.DUMMYFUNCTION("IMPORTRANGE(""https://docs.google.com/spreadsheets/d/11923uPwbBZFjjGgGUA6NLw09EwE0CqkOc4q9oUmW1yo/edit?usp=sharing"",""ตาก!L298"")"),0)</f>
        <v>0</v>
      </c>
      <c r="M403" s="172"/>
      <c r="N403" s="178">
        <f ca="1">IFERROR(__xludf.DUMMYFUNCTION("IMPORTRANGE(""https://docs.google.com/spreadsheets/d/11923uPwbBZFjjGgGUA6NLw09EwE0CqkOc4q9oUmW1yo/edit?usp=sharing"",""ตาก!M298"")"),0)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IFERROR(__xludf.DUMMYFUNCTION("IMPORTRANGE(""https://docs.google.com/spreadsheets/d/11923uPwbBZFjjGgGUA6NLw09EwE0CqkOc4q9oUmW1yo/edit?usp=sharing"",""ตาก!L299"")"),230370)</f>
        <v>230370</v>
      </c>
      <c r="M404" s="173"/>
      <c r="N404" s="178">
        <f ca="1">IFERROR(__xludf.DUMMYFUNCTION("IMPORTRANGE(""https://docs.google.com/spreadsheets/d/11923uPwbBZFjjGgGUA6NLw09EwE0CqkOc4q9oUmW1yo/edit?usp=sharing"",""ตาก!M299"")"),62250)</f>
        <v>62250</v>
      </c>
      <c r="O404" s="178">
        <f t="shared" ca="1" si="112"/>
        <v>27.02174762338846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IFERROR(__xludf.DUMMYFUNCTION("IMPORTRANGE(""https://docs.google.com/spreadsheets/d/11923uPwbBZFjjGgGUA6NLw09EwE0CqkOc4q9oUmW1yo/edit?usp=sharing"",""ตาก!L300"")"),0)</f>
        <v>0</v>
      </c>
      <c r="M405" s="178"/>
      <c r="N405" s="178">
        <f ca="1">IFERROR(__xludf.DUMMYFUNCTION("IMPORTRANGE(""https://docs.google.com/spreadsheets/d/11923uPwbBZFjjGgGUA6NLw09EwE0CqkOc4q9oUmW1yo/edit?usp=sharing"",""ตาก!M300"")"),0)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IFERROR(__xludf.DUMMYFUNCTION("IMPORTRANGE(""https://docs.google.com/spreadsheets/d/11923uPwbBZFjjGgGUA6NLw09EwE0CqkOc4q9oUmW1yo/edit?usp=sharing"",""ตาก!L301"")"),230370)</f>
        <v>230370</v>
      </c>
      <c r="M406" s="178"/>
      <c r="N406" s="178">
        <f ca="1">IFERROR(__xludf.DUMMYFUNCTION("IMPORTRANGE(""https://docs.google.com/spreadsheets/d/11923uPwbBZFjjGgGUA6NLw09EwE0CqkOc4q9oUmW1yo/edit?usp=sharing"",""ตาก!M301"")"),62250)</f>
        <v>62250</v>
      </c>
      <c r="O406" s="178">
        <f t="shared" ca="1" si="112"/>
        <v>27.02174762338846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IFERROR(__xludf.DUMMYFUNCTION("IMPORTRANGE(""https://docs.google.com/spreadsheets/d/11923uPwbBZFjjGgGUA6NLw09EwE0CqkOc4q9oUmW1yo/edit?usp=sharing"",""ตาก!M302"")"),62250)</f>
        <v>62250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IFERROR(__xludf.DUMMYFUNCTION("IMPORTRANGE(""https://docs.google.com/spreadsheets/d/11923uPwbBZFjjGgGUA6NLw09EwE0CqkOc4q9oUmW1yo/edit?usp=sharing"",""ตาก!M303"")"),0)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IFERROR(__xludf.DUMMYFUNCTION("IMPORTRANGE(""https://docs.google.com/spreadsheets/d/11923uPwbBZFjjGgGUA6NLw09EwE0CqkOc4q9oUmW1yo/edit?usp=sharing"",""ตาก!M304"")"),0)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IFERROR(__xludf.DUMMYFUNCTION("IMPORTRANGE(""https://docs.google.com/spreadsheets/d/11923uPwbBZFjjGgGUA6NLw09EwE0CqkOc4q9oUmW1yo/edit?usp=sharing"",""ตาก!M305"")"),0)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IFERROR(__xludf.DUMMYFUNCTION("IMPORTRANGE(""https://docs.google.com/spreadsheets/d/11923uPwbBZFjjGgGUA6NLw09EwE0CqkOc4q9oUmW1yo/edit?usp=sharing"",""ตาก!J307"")"),0)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IFERROR(__xludf.DUMMYFUNCTION("IMPORTRANGE(""https://docs.google.com/spreadsheets/d/11923uPwbBZFjjGgGUA6NLw09EwE0CqkOc4q9oUmW1yo/edit?usp=sharing"",""ตาก!J308"")"),1)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IFERROR(__xludf.DUMMYFUNCTION("IMPORTRANGE(""https://docs.google.com/spreadsheets/d/11923uPwbBZFjjGgGUA6NLw09EwE0CqkOc4q9oUmW1yo/edit?usp=sharing"",""ตาก!J309"")"),1)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IFERROR(__xludf.DUMMYFUNCTION("IMPORTRANGE(""https://docs.google.com/spreadsheets/d/11923uPwbBZFjjGgGUA6NLw09EwE0CqkOc4q9oUmW1yo/edit?usp=sharing"",""ตาก!J310"")"),1)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IFERROR(__xludf.DUMMYFUNCTION("IMPORTRANGE(""https://docs.google.com/spreadsheets/d/11923uPwbBZFjjGgGUA6NLw09EwE0CqkOc4q9oUmW1yo/edit?usp=sharing"",""ตาก!I311"")"),75)</f>
        <v>75</v>
      </c>
      <c r="J416" s="210">
        <f ca="1">IFERROR(__xludf.DUMMYFUNCTION("IMPORTRANGE(""https://docs.google.com/spreadsheets/d/11923uPwbBZFjjGgGUA6NLw09EwE0CqkOc4q9oUmW1yo/edit?usp=sharing"",""ตาก!J311"")"),0)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IFERROR(__xludf.DUMMYFUNCTION("IMPORTRANGE(""https://docs.google.com/spreadsheets/d/11923uPwbBZFjjGgGUA6NLw09EwE0CqkOc4q9oUmW1yo/edit?usp=sharing"",""ตาก!I312"")"),0)</f>
        <v>0</v>
      </c>
      <c r="J417" s="400">
        <f ca="1">IFERROR(__xludf.DUMMYFUNCTION("IMPORTRANGE(""https://docs.google.com/spreadsheets/d/11923uPwbBZFjjGgGUA6NLw09EwE0CqkOc4q9oUmW1yo/edit?usp=sharing"",""ตาก!J312"")"),0)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IFERROR(__xludf.DUMMYFUNCTION("IMPORTRANGE(""https://docs.google.com/spreadsheets/d/11923uPwbBZFjjGgGUA6NLw09EwE0CqkOc4q9oUmW1yo/edit?usp=sharing"",""ตาก!I313"")"),0)</f>
        <v>0</v>
      </c>
      <c r="J418" s="401">
        <f ca="1">IFERROR(__xludf.DUMMYFUNCTION("IMPORTRANGE(""https://docs.google.com/spreadsheets/d/11923uPwbBZFjjGgGUA6NLw09EwE0CqkOc4q9oUmW1yo/edit?usp=sharing"",""ตาก!J313"")"),0)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IFERROR(__xludf.DUMMYFUNCTION("IMPORTRANGE(""https://docs.google.com/spreadsheets/d/11923uPwbBZFjjGgGUA6NLw09EwE0CqkOc4q9oUmW1yo/edit?usp=sharing"",""ตาก!I314"")"),0)</f>
        <v>0</v>
      </c>
      <c r="J419" s="402">
        <f ca="1">IFERROR(__xludf.DUMMYFUNCTION("IMPORTRANGE(""https://docs.google.com/spreadsheets/d/11923uPwbBZFjjGgGUA6NLw09EwE0CqkOc4q9oUmW1yo/edit?usp=sharing"",""ตาก!J314"")"),0)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IFERROR(__xludf.DUMMYFUNCTION("IMPORTRANGE(""https://docs.google.com/spreadsheets/d/11923uPwbBZFjjGgGUA6NLw09EwE0CqkOc4q9oUmW1yo/edit?usp=sharing"",""ตาก!I315"")"),0)</f>
        <v>0</v>
      </c>
      <c r="J420" s="402">
        <f ca="1">IFERROR(__xludf.DUMMYFUNCTION("IMPORTRANGE(""https://docs.google.com/spreadsheets/d/11923uPwbBZFjjGgGUA6NLw09EwE0CqkOc4q9oUmW1yo/edit?usp=sharing"",""ตาก!J315"")"),0)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IFERROR(__xludf.DUMMYFUNCTION("IMPORTRANGE(""https://docs.google.com/spreadsheets/d/11923uPwbBZFjjGgGUA6NLw09EwE0CqkOc4q9oUmW1yo/edit?usp=sharing"",""ตาก!I316"")"),65)</f>
        <v>65</v>
      </c>
      <c r="J421" s="400">
        <f ca="1">IFERROR(__xludf.DUMMYFUNCTION("IMPORTRANGE(""https://docs.google.com/spreadsheets/d/11923uPwbBZFjjGgGUA6NLw09EwE0CqkOc4q9oUmW1yo/edit?usp=sharing"",""ตาก!J316"")"),0)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IFERROR(__xludf.DUMMYFUNCTION("IMPORTRANGE(""https://docs.google.com/spreadsheets/d/11923uPwbBZFjjGgGUA6NLw09EwE0CqkOc4q9oUmW1yo/edit?usp=sharing"",""ตาก!I317"")"),195)</f>
        <v>195</v>
      </c>
      <c r="J422" s="401">
        <f ca="1">IFERROR(__xludf.DUMMYFUNCTION("IMPORTRANGE(""https://docs.google.com/spreadsheets/d/11923uPwbBZFjjGgGUA6NLw09EwE0CqkOc4q9oUmW1yo/edit?usp=sharing"",""ตาก!J317"")"),0)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IFERROR(__xludf.DUMMYFUNCTION("IMPORTRANGE(""https://docs.google.com/spreadsheets/d/11923uPwbBZFjjGgGUA6NLw09EwE0CqkOc4q9oUmW1yo/edit?usp=sharing"",""ตาก!I318"")"),65)</f>
        <v>65</v>
      </c>
      <c r="J423" s="402">
        <f ca="1">IFERROR(__xludf.DUMMYFUNCTION("IMPORTRANGE(""https://docs.google.com/spreadsheets/d/11923uPwbBZFjjGgGUA6NLw09EwE0CqkOc4q9oUmW1yo/edit?usp=sharing"",""ตาก!J318"")"),0)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IFERROR(__xludf.DUMMYFUNCTION("IMPORTRANGE(""https://docs.google.com/spreadsheets/d/11923uPwbBZFjjGgGUA6NLw09EwE0CqkOc4q9oUmW1yo/edit?usp=sharing"",""ตาก!I319"")"),65)</f>
        <v>65</v>
      </c>
      <c r="J424" s="402">
        <f ca="1">IFERROR(__xludf.DUMMYFUNCTION("IMPORTRANGE(""https://docs.google.com/spreadsheets/d/11923uPwbBZFjjGgGUA6NLw09EwE0CqkOc4q9oUmW1yo/edit?usp=sharing"",""ตาก!J319"")"),0)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IFERROR(__xludf.DUMMYFUNCTION("IMPORTRANGE(""https://docs.google.com/spreadsheets/d/11923uPwbBZFjjGgGUA6NLw09EwE0CqkOc4q9oUmW1yo/edit?usp=sharing"",""ตาก!I320"")"),65)</f>
        <v>65</v>
      </c>
      <c r="J425" s="402">
        <f ca="1">IFERROR(__xludf.DUMMYFUNCTION("IMPORTRANGE(""https://docs.google.com/spreadsheets/d/11923uPwbBZFjjGgGUA6NLw09EwE0CqkOc4q9oUmW1yo/edit?usp=sharing"",""ตาก!J320"")"),0)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IFERROR(__xludf.DUMMYFUNCTION("IMPORTRANGE(""https://docs.google.com/spreadsheets/d/11923uPwbBZFjjGgGUA6NLw09EwE0CqkOc4q9oUmW1yo/edit?usp=sharing"",""ตาก!I321"")"),10)</f>
        <v>10</v>
      </c>
      <c r="J426" s="400">
        <f ca="1">IFERROR(__xludf.DUMMYFUNCTION("IMPORTRANGE(""https://docs.google.com/spreadsheets/d/11923uPwbBZFjjGgGUA6NLw09EwE0CqkOc4q9oUmW1yo/edit?usp=sharing"",""ตาก!J321"")"),0)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IFERROR(__xludf.DUMMYFUNCTION("IMPORTRANGE(""https://docs.google.com/spreadsheets/d/11923uPwbBZFjjGgGUA6NLw09EwE0CqkOc4q9oUmW1yo/edit?usp=sharing"",""ตาก!I322"")"),30)</f>
        <v>30</v>
      </c>
      <c r="J427" s="401">
        <f ca="1">IFERROR(__xludf.DUMMYFUNCTION("IMPORTRANGE(""https://docs.google.com/spreadsheets/d/11923uPwbBZFjjGgGUA6NLw09EwE0CqkOc4q9oUmW1yo/edit?usp=sharing"",""ตาก!J322"")"),0)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IFERROR(__xludf.DUMMYFUNCTION("IMPORTRANGE(""https://docs.google.com/spreadsheets/d/11923uPwbBZFjjGgGUA6NLw09EwE0CqkOc4q9oUmW1yo/edit?usp=sharing"",""ตาก!I323"")"),10)</f>
        <v>10</v>
      </c>
      <c r="J428" s="402">
        <f ca="1">IFERROR(__xludf.DUMMYFUNCTION("IMPORTRANGE(""https://docs.google.com/spreadsheets/d/11923uPwbBZFjjGgGUA6NLw09EwE0CqkOc4q9oUmW1yo/edit?usp=sharing"",""ตาก!J323"")"),0)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IFERROR(__xludf.DUMMYFUNCTION("IMPORTRANGE(""https://docs.google.com/spreadsheets/d/11923uPwbBZFjjGgGUA6NLw09EwE0CqkOc4q9oUmW1yo/edit?usp=sharing"",""ตาก!I324"")"),10)</f>
        <v>10</v>
      </c>
      <c r="J429" s="402">
        <f ca="1">IFERROR(__xludf.DUMMYFUNCTION("IMPORTRANGE(""https://docs.google.com/spreadsheets/d/11923uPwbBZFjjGgGUA6NLw09EwE0CqkOc4q9oUmW1yo/edit?usp=sharing"",""ตาก!J324"")"),0)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IFERROR(__xludf.DUMMYFUNCTION("IMPORTRANGE(""https://docs.google.com/spreadsheets/d/11923uPwbBZFjjGgGUA6NLw09EwE0CqkOc4q9oUmW1yo/edit?usp=sharing"",""ตาก!I325"")"),65)</f>
        <v>65</v>
      </c>
      <c r="J430" s="400">
        <f ca="1">IFERROR(__xludf.DUMMYFUNCTION("IMPORTRANGE(""https://docs.google.com/spreadsheets/d/11923uPwbBZFjjGgGUA6NLw09EwE0CqkOc4q9oUmW1yo/edit?usp=sharing"",""ตาก!J325"")"),0)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IFERROR(__xludf.DUMMYFUNCTION("IMPORTRANGE(""https://docs.google.com/spreadsheets/d/11923uPwbBZFjjGgGUA6NLw09EwE0CqkOc4q9oUmW1yo/edit?usp=sharing"",""ตาก!I326"")"),0)</f>
        <v>0</v>
      </c>
      <c r="J431" s="402">
        <f ca="1">IFERROR(__xludf.DUMMYFUNCTION("IMPORTRANGE(""https://docs.google.com/spreadsheets/d/11923uPwbBZFjjGgGUA6NLw09EwE0CqkOc4q9oUmW1yo/edit?usp=sharing"",""ตาก!J326"")"),0)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IFERROR(__xludf.DUMMYFUNCTION("IMPORTRANGE(""https://docs.google.com/spreadsheets/d/11923uPwbBZFjjGgGUA6NLw09EwE0CqkOc4q9oUmW1yo/edit?usp=sharing"",""ตาก!I327"")"),65)</f>
        <v>65</v>
      </c>
      <c r="J432" s="402">
        <f ca="1">IFERROR(__xludf.DUMMYFUNCTION("IMPORTRANGE(""https://docs.google.com/spreadsheets/d/11923uPwbBZFjjGgGUA6NLw09EwE0CqkOc4q9oUmW1yo/edit?usp=sharing"",""ตาก!J327"")"),0)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IFERROR(__xludf.DUMMYFUNCTION("IMPORTRANGE(""https://docs.google.com/spreadsheets/d/11923uPwbBZFjjGgGUA6NLw09EwE0CqkOc4q9oUmW1yo/edit?usp=sharing"",""ตาก!J328"")"),0)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IFERROR(__xludf.DUMMYFUNCTION("IMPORTRANGE(""https://docs.google.com/spreadsheets/d/11923uPwbBZFjjGgGUA6NLw09EwE0CqkOc4q9oUmW1yo/edit?usp=sharing"",""ตาก!J329"")"),0)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IFERROR(__xludf.DUMMYFUNCTION("IMPORTRANGE(""https://docs.google.com/spreadsheets/d/11923uPwbBZFjjGgGUA6NLw09EwE0CqkOc4q9oUmW1yo/edit?usp=sharing"",""ตาก!I330"")"),20)</f>
        <v>20</v>
      </c>
      <c r="J435" s="418">
        <f ca="1">IFERROR(__xludf.DUMMYFUNCTION("IMPORTRANGE(""https://docs.google.com/spreadsheets/d/11923uPwbBZFjjGgGUA6NLw09EwE0CqkOc4q9oUmW1yo/edit?usp=sharing"",""ตาก!J330"")"),0)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IFERROR(__xludf.DUMMYFUNCTION("IMPORTRANGE(""https://docs.google.com/spreadsheets/d/11923uPwbBZFjjGgGUA6NLw09EwE0CqkOc4q9oUmW1yo/edit?usp=sharing"",""ตาก!L330"")"),95000)</f>
        <v>95000</v>
      </c>
      <c r="M435" s="420"/>
      <c r="N435" s="420">
        <f ca="1">IFERROR(__xludf.DUMMYFUNCTION("IMPORTRANGE(""https://docs.google.com/spreadsheets/d/11923uPwbBZFjjGgGUA6NLw09EwE0CqkOc4q9oUmW1yo/edit?usp=sharing"",""ตาก!M330"")"),7680)</f>
        <v>7680</v>
      </c>
      <c r="O435" s="420">
        <f t="shared" ref="O435:O439" ca="1" si="114">+IF(L435&gt;0,N435*100/L435,0)</f>
        <v>8.0842105263157897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IFERROR(__xludf.DUMMYFUNCTION("IMPORTRANGE(""https://docs.google.com/spreadsheets/d/11923uPwbBZFjjGgGUA6NLw09EwE0CqkOc4q9oUmW1yo/edit?usp=sharing"",""ตาก!L331"")"),0)</f>
        <v>0</v>
      </c>
      <c r="M436" s="172"/>
      <c r="N436" s="178">
        <f ca="1">IFERROR(__xludf.DUMMYFUNCTION("IMPORTRANGE(""https://docs.google.com/spreadsheets/d/11923uPwbBZFjjGgGUA6NLw09EwE0CqkOc4q9oUmW1yo/edit?usp=sharing"",""ตาก!M331"")"),0)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IFERROR(__xludf.DUMMYFUNCTION("IMPORTRANGE(""https://docs.google.com/spreadsheets/d/11923uPwbBZFjjGgGUA6NLw09EwE0CqkOc4q9oUmW1yo/edit?usp=sharing"",""ตาก!L332"")"),95000)</f>
        <v>95000</v>
      </c>
      <c r="M437" s="173"/>
      <c r="N437" s="178">
        <f ca="1">IFERROR(__xludf.DUMMYFUNCTION("IMPORTRANGE(""https://docs.google.com/spreadsheets/d/11923uPwbBZFjjGgGUA6NLw09EwE0CqkOc4q9oUmW1yo/edit?usp=sharing"",""ตาก!M332"")"),7680)</f>
        <v>7680</v>
      </c>
      <c r="O437" s="178">
        <f t="shared" ca="1" si="114"/>
        <v>8.0842105263157897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IFERROR(__xludf.DUMMYFUNCTION("IMPORTRANGE(""https://docs.google.com/spreadsheets/d/11923uPwbBZFjjGgGUA6NLw09EwE0CqkOc4q9oUmW1yo/edit?usp=sharing"",""ตาก!L333"")"),0)</f>
        <v>0</v>
      </c>
      <c r="M438" s="178"/>
      <c r="N438" s="178">
        <f ca="1">IFERROR(__xludf.DUMMYFUNCTION("IMPORTRANGE(""https://docs.google.com/spreadsheets/d/11923uPwbBZFjjGgGUA6NLw09EwE0CqkOc4q9oUmW1yo/edit?usp=sharing"",""ตาก!M333"")"),0)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IFERROR(__xludf.DUMMYFUNCTION("IMPORTRANGE(""https://docs.google.com/spreadsheets/d/11923uPwbBZFjjGgGUA6NLw09EwE0CqkOc4q9oUmW1yo/edit?usp=sharing"",""ตาก!L334"")"),95000)</f>
        <v>95000</v>
      </c>
      <c r="M439" s="178"/>
      <c r="N439" s="178">
        <f ca="1">IFERROR(__xludf.DUMMYFUNCTION("IMPORTRANGE(""https://docs.google.com/spreadsheets/d/11923uPwbBZFjjGgGUA6NLw09EwE0CqkOc4q9oUmW1yo/edit?usp=sharing"",""ตาก!M334"")"),7680)</f>
        <v>7680</v>
      </c>
      <c r="O439" s="178">
        <f t="shared" ca="1" si="114"/>
        <v>8.0842105263157897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IFERROR(__xludf.DUMMYFUNCTION("IMPORTRANGE(""https://docs.google.com/spreadsheets/d/11923uPwbBZFjjGgGUA6NLw09EwE0CqkOc4q9oUmW1yo/edit?usp=sharing"",""ตาก!M335"")"),0)</f>
        <v>0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IFERROR(__xludf.DUMMYFUNCTION("IMPORTRANGE(""https://docs.google.com/spreadsheets/d/11923uPwbBZFjjGgGUA6NLw09EwE0CqkOc4q9oUmW1yo/edit?usp=sharing"",""ตาก!M336"")"),0)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IFERROR(__xludf.DUMMYFUNCTION("IMPORTRANGE(""https://docs.google.com/spreadsheets/d/11923uPwbBZFjjGgGUA6NLw09EwE0CqkOc4q9oUmW1yo/edit?usp=sharing"",""ตาก!M337"")"),0)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IFERROR(__xludf.DUMMYFUNCTION("IMPORTRANGE(""https://docs.google.com/spreadsheets/d/11923uPwbBZFjjGgGUA6NLw09EwE0CqkOc4q9oUmW1yo/edit?usp=sharing"",""ตาก!M338"")"),7680)</f>
        <v>7680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IFERROR(__xludf.DUMMYFUNCTION("IMPORTRANGE(""https://docs.google.com/spreadsheets/d/11923uPwbBZFjjGgGUA6NLw09EwE0CqkOc4q9oUmW1yo/edit?usp=sharing"",""ตาก!J340"")"),0)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IFERROR(__xludf.DUMMYFUNCTION("IMPORTRANGE(""https://docs.google.com/spreadsheets/d/11923uPwbBZFjjGgGUA6NLw09EwE0CqkOc4q9oUmW1yo/edit?usp=sharing"",""ตาก!J341"")"),1)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IFERROR(__xludf.DUMMYFUNCTION("IMPORTRANGE(""https://docs.google.com/spreadsheets/d/11923uPwbBZFjjGgGUA6NLw09EwE0CqkOc4q9oUmW1yo/edit?usp=sharing"",""ตาก!J342"")"),1)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IFERROR(__xludf.DUMMYFUNCTION("IMPORTRANGE(""https://docs.google.com/spreadsheets/d/11923uPwbBZFjjGgGUA6NLw09EwE0CqkOc4q9oUmW1yo/edit?usp=sharing"",""ตาก!J343"")"),1)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IFERROR(__xludf.DUMMYFUNCTION("IMPORTRANGE(""https://docs.google.com/spreadsheets/d/11923uPwbBZFjjGgGUA6NLw09EwE0CqkOc4q9oUmW1yo/edit?usp=sharing"",""ตาก!I344"")"),20)</f>
        <v>20</v>
      </c>
      <c r="J449" s="210">
        <f ca="1">IFERROR(__xludf.DUMMYFUNCTION("IMPORTRANGE(""https://docs.google.com/spreadsheets/d/11923uPwbBZFjjGgGUA6NLw09EwE0CqkOc4q9oUmW1yo/edit?usp=sharing"",""ตาก!J344"")"),0)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IFERROR(__xludf.DUMMYFUNCTION("IMPORTRANGE(""https://docs.google.com/spreadsheets/d/11923uPwbBZFjjGgGUA6NLw09EwE0CqkOc4q9oUmW1yo/edit?usp=sharing"",""ตาก!I345"")"),20)</f>
        <v>20</v>
      </c>
      <c r="J450" s="198">
        <f ca="1">IFERROR(__xludf.DUMMYFUNCTION("IMPORTRANGE(""https://docs.google.com/spreadsheets/d/11923uPwbBZFjjGgGUA6NLw09EwE0CqkOc4q9oUmW1yo/edit?usp=sharing"",""ตาก!J345"")"),0)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IFERROR(__xludf.DUMMYFUNCTION("IMPORTRANGE(""https://docs.google.com/spreadsheets/d/11923uPwbBZFjjGgGUA6NLw09EwE0CqkOc4q9oUmW1yo/edit?usp=sharing"",""ตาก!I346"")"),0)</f>
        <v>0</v>
      </c>
      <c r="J451" s="197">
        <f ca="1">IFERROR(__xludf.DUMMYFUNCTION("IMPORTRANGE(""https://docs.google.com/spreadsheets/d/11923uPwbBZFjjGgGUA6NLw09EwE0CqkOc4q9oUmW1yo/edit?usp=sharing"",""ตาก!J346"")"),0)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IFERROR(__xludf.DUMMYFUNCTION("IMPORTRANGE(""https://docs.google.com/spreadsheets/d/11923uPwbBZFjjGgGUA6NLw09EwE0CqkOc4q9oUmW1yo/edit?usp=sharing"",""ตาก!I347"")"),0)</f>
        <v>0</v>
      </c>
      <c r="J452" s="197">
        <f ca="1">IFERROR(__xludf.DUMMYFUNCTION("IMPORTRANGE(""https://docs.google.com/spreadsheets/d/11923uPwbBZFjjGgGUA6NLw09EwE0CqkOc4q9oUmW1yo/edit?usp=sharing"",""ตาก!J347"")"),0)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IFERROR(__xludf.DUMMYFUNCTION("IMPORTRANGE(""https://docs.google.com/spreadsheets/d/11923uPwbBZFjjGgGUA6NLw09EwE0CqkOc4q9oUmW1yo/edit?usp=sharing"",""ตาก!J348"")"),0)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IFERROR(__xludf.DUMMYFUNCTION("IMPORTRANGE(""https://docs.google.com/spreadsheets/d/11923uPwbBZFjjGgGUA6NLw09EwE0CqkOc4q9oUmW1yo/edit?usp=sharing"",""ตาก!J349"")"),0)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IFERROR(__xludf.DUMMYFUNCTION("IMPORTRANGE(""https://docs.google.com/spreadsheets/d/11923uPwbBZFjjGgGUA6NLw09EwE0CqkOc4q9oUmW1yo/edit?usp=sharing"",""ตาก!I350"")"),53199)</f>
        <v>53199</v>
      </c>
      <c r="J455" s="379">
        <f ca="1">IFERROR(__xludf.DUMMYFUNCTION("IMPORTRANGE(""https://docs.google.com/spreadsheets/d/11923uPwbBZFjjGgGUA6NLw09EwE0CqkOc4q9oUmW1yo/edit?usp=sharing"",""ตาก!J350"")"),0)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IFERROR(__xludf.DUMMYFUNCTION("IMPORTRANGE(""https://docs.google.com/spreadsheets/d/11923uPwbBZFjjGgGUA6NLw09EwE0CqkOc4q9oUmW1yo/edit?usp=sharing"",""ตาก!L350"")"),462178)</f>
        <v>462178</v>
      </c>
      <c r="M455" s="381"/>
      <c r="N455" s="381">
        <f ca="1">IFERROR(__xludf.DUMMYFUNCTION("IMPORTRANGE(""https://docs.google.com/spreadsheets/d/11923uPwbBZFjjGgGUA6NLw09EwE0CqkOc4q9oUmW1yo/edit?usp=sharing"",""ตาก!M350"")"),53913)</f>
        <v>53913</v>
      </c>
      <c r="O455" s="381">
        <f t="shared" ref="O455:O459" ca="1" si="116">+IF(L455&gt;0,N455*100/L455,0)</f>
        <v>11.664986217431379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IFERROR(__xludf.DUMMYFUNCTION("IMPORTRANGE(""https://docs.google.com/spreadsheets/d/11923uPwbBZFjjGgGUA6NLw09EwE0CqkOc4q9oUmW1yo/edit?usp=sharing"",""ตาก!L351"")"),0)</f>
        <v>0</v>
      </c>
      <c r="M456" s="172"/>
      <c r="N456" s="178">
        <f ca="1">IFERROR(__xludf.DUMMYFUNCTION("IMPORTRANGE(""https://docs.google.com/spreadsheets/d/11923uPwbBZFjjGgGUA6NLw09EwE0CqkOc4q9oUmW1yo/edit?usp=sharing"",""ตาก!M351"")"),0)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IFERROR(__xludf.DUMMYFUNCTION("IMPORTRANGE(""https://docs.google.com/spreadsheets/d/11923uPwbBZFjjGgGUA6NLw09EwE0CqkOc4q9oUmW1yo/edit?usp=sharing"",""ตาก!L352"")"),462178)</f>
        <v>462178</v>
      </c>
      <c r="M457" s="173"/>
      <c r="N457" s="178">
        <f ca="1">IFERROR(__xludf.DUMMYFUNCTION("IMPORTRANGE(""https://docs.google.com/spreadsheets/d/11923uPwbBZFjjGgGUA6NLw09EwE0CqkOc4q9oUmW1yo/edit?usp=sharing"",""ตาก!M352"")"),53913)</f>
        <v>53913</v>
      </c>
      <c r="O457" s="178">
        <f t="shared" ca="1" si="116"/>
        <v>11.664986217431379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IFERROR(__xludf.DUMMYFUNCTION("IMPORTRANGE(""https://docs.google.com/spreadsheets/d/11923uPwbBZFjjGgGUA6NLw09EwE0CqkOc4q9oUmW1yo/edit?usp=sharing"",""ตาก!L353"")"),0)</f>
        <v>0</v>
      </c>
      <c r="M458" s="178"/>
      <c r="N458" s="178">
        <f ca="1">IFERROR(__xludf.DUMMYFUNCTION("IMPORTRANGE(""https://docs.google.com/spreadsheets/d/11923uPwbBZFjjGgGUA6NLw09EwE0CqkOc4q9oUmW1yo/edit?usp=sharing"",""ตาก!M353"")"),0)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IFERROR(__xludf.DUMMYFUNCTION("IMPORTRANGE(""https://docs.google.com/spreadsheets/d/11923uPwbBZFjjGgGUA6NLw09EwE0CqkOc4q9oUmW1yo/edit?usp=sharing"",""ตาก!L354"")"),462178)</f>
        <v>462178</v>
      </c>
      <c r="M459" s="178"/>
      <c r="N459" s="178">
        <f ca="1">IFERROR(__xludf.DUMMYFUNCTION("IMPORTRANGE(""https://docs.google.com/spreadsheets/d/11923uPwbBZFjjGgGUA6NLw09EwE0CqkOc4q9oUmW1yo/edit?usp=sharing"",""ตาก!M354"")"),53913)</f>
        <v>53913</v>
      </c>
      <c r="O459" s="178">
        <f t="shared" ca="1" si="116"/>
        <v>11.664986217431379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IFERROR(__xludf.DUMMYFUNCTION("IMPORTRANGE(""https://docs.google.com/spreadsheets/d/11923uPwbBZFjjGgGUA6NLw09EwE0CqkOc4q9oUmW1yo/edit?usp=sharing"",""ตาก!M355"")"),0)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IFERROR(__xludf.DUMMYFUNCTION("IMPORTRANGE(""https://docs.google.com/spreadsheets/d/11923uPwbBZFjjGgGUA6NLw09EwE0CqkOc4q9oUmW1yo/edit?usp=sharing"",""ตาก!M356"")"),0)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IFERROR(__xludf.DUMMYFUNCTION("IMPORTRANGE(""https://docs.google.com/spreadsheets/d/11923uPwbBZFjjGgGUA6NLw09EwE0CqkOc4q9oUmW1yo/edit?usp=sharing"",""ตาก!M357"")"),21266)</f>
        <v>21266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IFERROR(__xludf.DUMMYFUNCTION("IMPORTRANGE(""https://docs.google.com/spreadsheets/d/11923uPwbBZFjjGgGUA6NLw09EwE0CqkOc4q9oUmW1yo/edit?usp=sharing"",""ตาก!M358"")"),32647)</f>
        <v>32647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IFERROR(__xludf.DUMMYFUNCTION("IMPORTRANGE(""https://docs.google.com/spreadsheets/d/11923uPwbBZFjjGgGUA6NLw09EwE0CqkOc4q9oUmW1yo/edit?usp=sharing"",""ตาก!I359"")"),53199)</f>
        <v>53199</v>
      </c>
      <c r="J464" s="276">
        <f ca="1">IFERROR(__xludf.DUMMYFUNCTION("IMPORTRANGE(""https://docs.google.com/spreadsheets/d/11923uPwbBZFjjGgGUA6NLw09EwE0CqkOc4q9oUmW1yo/edit?usp=sharing"",""ตาก!J359"")"),0)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IFERROR(__xludf.DUMMYFUNCTION("IMPORTRANGE(""https://docs.google.com/spreadsheets/d/11923uPwbBZFjjGgGUA6NLw09EwE0CqkOc4q9oUmW1yo/edit?usp=sharing"",""ตาก!I360"")"),53199)</f>
        <v>53199</v>
      </c>
      <c r="J465" s="428">
        <f ca="1">IFERROR(__xludf.DUMMYFUNCTION("IMPORTRANGE(""https://docs.google.com/spreadsheets/d/11923uPwbBZFjjGgGUA6NLw09EwE0CqkOc4q9oUmW1yo/edit?usp=sharing"",""ตาก!J360"")"),55081)</f>
        <v>55081</v>
      </c>
      <c r="K465" s="211">
        <f t="shared" ca="1" si="117"/>
        <v>103.53766048233989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IFERROR(__xludf.DUMMYFUNCTION("IMPORTRANGE(""https://docs.google.com/spreadsheets/d/11923uPwbBZFjjGgGUA6NLw09EwE0CqkOc4q9oUmW1yo/edit?usp=sharing"",""ตาก!I361"")"),4506)</f>
        <v>4506</v>
      </c>
      <c r="J466" s="428">
        <f ca="1">IFERROR(__xludf.DUMMYFUNCTION("IMPORTRANGE(""https://docs.google.com/spreadsheets/d/11923uPwbBZFjjGgGUA6NLw09EwE0CqkOc4q9oUmW1yo/edit?usp=sharing"",""ตาก!J361"")"),3722)</f>
        <v>3722</v>
      </c>
      <c r="K466" s="211">
        <f t="shared" ca="1" si="117"/>
        <v>82.600976475810029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IFERROR(__xludf.DUMMYFUNCTION("IMPORTRANGE(""https://docs.google.com/spreadsheets/d/11923uPwbBZFjjGgGUA6NLw09EwE0CqkOc4q9oUmW1yo/edit?usp=sharing"",""ตาก!I362"")"),0)</f>
        <v>0</v>
      </c>
      <c r="J467" s="198">
        <f ca="1">IFERROR(__xludf.DUMMYFUNCTION("IMPORTRANGE(""https://docs.google.com/spreadsheets/d/11923uPwbBZFjjGgGUA6NLw09EwE0CqkOc4q9oUmW1yo/edit?usp=sharing"",""ตาก!J362"")"),48541)</f>
        <v>48541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IFERROR(__xludf.DUMMYFUNCTION("IMPORTRANGE(""https://docs.google.com/spreadsheets/d/11923uPwbBZFjjGgGUA6NLw09EwE0CqkOc4q9oUmW1yo/edit?usp=sharing"",""ตาก!I363"")"),0)</f>
        <v>0</v>
      </c>
      <c r="J468" s="198">
        <f ca="1">IFERROR(__xludf.DUMMYFUNCTION("IMPORTRANGE(""https://docs.google.com/spreadsheets/d/11923uPwbBZFjjGgGUA6NLw09EwE0CqkOc4q9oUmW1yo/edit?usp=sharing"",""ตาก!J363"")"),3339)</f>
        <v>3339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IFERROR(__xludf.DUMMYFUNCTION("IMPORTRANGE(""https://docs.google.com/spreadsheets/d/11923uPwbBZFjjGgGUA6NLw09EwE0CqkOc4q9oUmW1yo/edit?usp=sharing"",""ตาก!I364"")"),0)</f>
        <v>0</v>
      </c>
      <c r="J469" s="198">
        <f ca="1">IFERROR(__xludf.DUMMYFUNCTION("IMPORTRANGE(""https://docs.google.com/spreadsheets/d/11923uPwbBZFjjGgGUA6NLw09EwE0CqkOc4q9oUmW1yo/edit?usp=sharing"",""ตาก!J364"")"),5108)</f>
        <v>5108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IFERROR(__xludf.DUMMYFUNCTION("IMPORTRANGE(""https://docs.google.com/spreadsheets/d/11923uPwbBZFjjGgGUA6NLw09EwE0CqkOc4q9oUmW1yo/edit?usp=sharing"",""ตาก!I365"")"),0)</f>
        <v>0</v>
      </c>
      <c r="J470" s="198">
        <f ca="1">IFERROR(__xludf.DUMMYFUNCTION("IMPORTRANGE(""https://docs.google.com/spreadsheets/d/11923uPwbBZFjjGgGUA6NLw09EwE0CqkOc4q9oUmW1yo/edit?usp=sharing"",""ตาก!J365"")"),300)</f>
        <v>300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IFERROR(__xludf.DUMMYFUNCTION("IMPORTRANGE(""https://docs.google.com/spreadsheets/d/11923uPwbBZFjjGgGUA6NLw09EwE0CqkOc4q9oUmW1yo/edit?usp=sharing"",""ตาก!I366"")"),0)</f>
        <v>0</v>
      </c>
      <c r="J471" s="198">
        <f ca="1">IFERROR(__xludf.DUMMYFUNCTION("IMPORTRANGE(""https://docs.google.com/spreadsheets/d/11923uPwbBZFjjGgGUA6NLw09EwE0CqkOc4q9oUmW1yo/edit?usp=sharing"",""ตาก!J366"")"),1432)</f>
        <v>1432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IFERROR(__xludf.DUMMYFUNCTION("IMPORTRANGE(""https://docs.google.com/spreadsheets/d/11923uPwbBZFjjGgGUA6NLw09EwE0CqkOc4q9oUmW1yo/edit?usp=sharing"",""ตาก!I367"")"),0)</f>
        <v>0</v>
      </c>
      <c r="J472" s="198">
        <f ca="1">IFERROR(__xludf.DUMMYFUNCTION("IMPORTRANGE(""https://docs.google.com/spreadsheets/d/11923uPwbBZFjjGgGUA6NLw09EwE0CqkOc4q9oUmW1yo/edit?usp=sharing"",""ตาก!J367"")"),83)</f>
        <v>83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IFERROR(__xludf.DUMMYFUNCTION("IMPORTRANGE(""https://docs.google.com/spreadsheets/d/11923uPwbBZFjjGgGUA6NLw09EwE0CqkOc4q9oUmW1yo/edit?usp=sharing"",""ตาก!I368"")"),53199)</f>
        <v>53199</v>
      </c>
      <c r="J473" s="428">
        <f ca="1">IFERROR(__xludf.DUMMYFUNCTION("IMPORTRANGE(""https://docs.google.com/spreadsheets/d/11923uPwbBZFjjGgGUA6NLw09EwE0CqkOc4q9oUmW1yo/edit?usp=sharing"",""ตาก!J368"")"),0)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IFERROR(__xludf.DUMMYFUNCTION("IMPORTRANGE(""https://docs.google.com/spreadsheets/d/11923uPwbBZFjjGgGUA6NLw09EwE0CqkOc4q9oUmW1yo/edit?usp=sharing"",""ตาก!I369"")"),4506)</f>
        <v>4506</v>
      </c>
      <c r="J474" s="428">
        <f ca="1">IFERROR(__xludf.DUMMYFUNCTION("IMPORTRANGE(""https://docs.google.com/spreadsheets/d/11923uPwbBZFjjGgGUA6NLw09EwE0CqkOc4q9oUmW1yo/edit?usp=sharing"",""ตาก!J369"")"),0)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IFERROR(__xludf.DUMMYFUNCTION("IMPORTRANGE(""https://docs.google.com/spreadsheets/d/11923uPwbBZFjjGgGUA6NLw09EwE0CqkOc4q9oUmW1yo/edit?usp=sharing"",""ตาก!I370"")"),0)</f>
        <v>0</v>
      </c>
      <c r="J475" s="198">
        <f ca="1">IFERROR(__xludf.DUMMYFUNCTION("IMPORTRANGE(""https://docs.google.com/spreadsheets/d/11923uPwbBZFjjGgGUA6NLw09EwE0CqkOc4q9oUmW1yo/edit?usp=sharing"",""ตาก!J370"")"),0)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IFERROR(__xludf.DUMMYFUNCTION("IMPORTRANGE(""https://docs.google.com/spreadsheets/d/11923uPwbBZFjjGgGUA6NLw09EwE0CqkOc4q9oUmW1yo/edit?usp=sharing"",""ตาก!I371"")"),0)</f>
        <v>0</v>
      </c>
      <c r="J476" s="198">
        <f ca="1">IFERROR(__xludf.DUMMYFUNCTION("IMPORTRANGE(""https://docs.google.com/spreadsheets/d/11923uPwbBZFjjGgGUA6NLw09EwE0CqkOc4q9oUmW1yo/edit?usp=sharing"",""ตาก!J371"")"),0)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IFERROR(__xludf.DUMMYFUNCTION("IMPORTRANGE(""https://docs.google.com/spreadsheets/d/11923uPwbBZFjjGgGUA6NLw09EwE0CqkOc4q9oUmW1yo/edit?usp=sharing"",""ตาก!I372"")"),0)</f>
        <v>0</v>
      </c>
      <c r="J477" s="198">
        <f ca="1">IFERROR(__xludf.DUMMYFUNCTION("IMPORTRANGE(""https://docs.google.com/spreadsheets/d/11923uPwbBZFjjGgGUA6NLw09EwE0CqkOc4q9oUmW1yo/edit?usp=sharing"",""ตาก!J372"")"),0)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IFERROR(__xludf.DUMMYFUNCTION("IMPORTRANGE(""https://docs.google.com/spreadsheets/d/11923uPwbBZFjjGgGUA6NLw09EwE0CqkOc4q9oUmW1yo/edit?usp=sharing"",""ตาก!I373"")"),0)</f>
        <v>0</v>
      </c>
      <c r="J478" s="198">
        <f ca="1">IFERROR(__xludf.DUMMYFUNCTION("IMPORTRANGE(""https://docs.google.com/spreadsheets/d/11923uPwbBZFjjGgGUA6NLw09EwE0CqkOc4q9oUmW1yo/edit?usp=sharing"",""ตาก!J373"")"),0)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IFERROR(__xludf.DUMMYFUNCTION("IMPORTRANGE(""https://docs.google.com/spreadsheets/d/11923uPwbBZFjjGgGUA6NLw09EwE0CqkOc4q9oUmW1yo/edit?usp=sharing"",""ตาก!I374"")"),0)</f>
        <v>0</v>
      </c>
      <c r="J479" s="198">
        <f ca="1">IFERROR(__xludf.DUMMYFUNCTION("IMPORTRANGE(""https://docs.google.com/spreadsheets/d/11923uPwbBZFjjGgGUA6NLw09EwE0CqkOc4q9oUmW1yo/edit?usp=sharing"",""ตาก!J374"")"),0)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IFERROR(__xludf.DUMMYFUNCTION("IMPORTRANGE(""https://docs.google.com/spreadsheets/d/11923uPwbBZFjjGgGUA6NLw09EwE0CqkOc4q9oUmW1yo/edit?usp=sharing"",""ตาก!I375"")"),0)</f>
        <v>0</v>
      </c>
      <c r="J480" s="198">
        <f ca="1">IFERROR(__xludf.DUMMYFUNCTION("IMPORTRANGE(""https://docs.google.com/spreadsheets/d/11923uPwbBZFjjGgGUA6NLw09EwE0CqkOc4q9oUmW1yo/edit?usp=sharing"",""ตาก!J375"")"),0)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IFERROR(__xludf.DUMMYFUNCTION("IMPORTRANGE(""https://docs.google.com/spreadsheets/d/11923uPwbBZFjjGgGUA6NLw09EwE0CqkOc4q9oUmW1yo/edit?usp=sharing"",""ตาก!I376"")"),53199)</f>
        <v>53199</v>
      </c>
      <c r="J481" s="428">
        <f ca="1">IFERROR(__xludf.DUMMYFUNCTION("IMPORTRANGE(""https://docs.google.com/spreadsheets/d/11923uPwbBZFjjGgGUA6NLw09EwE0CqkOc4q9oUmW1yo/edit?usp=sharing"",""ตาก!J376"")"),0)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IFERROR(__xludf.DUMMYFUNCTION("IMPORTRANGE(""https://docs.google.com/spreadsheets/d/11923uPwbBZFjjGgGUA6NLw09EwE0CqkOc4q9oUmW1yo/edit?usp=sharing"",""ตาก!I377"")"),4506)</f>
        <v>4506</v>
      </c>
      <c r="J482" s="428">
        <f ca="1">IFERROR(__xludf.DUMMYFUNCTION("IMPORTRANGE(""https://docs.google.com/spreadsheets/d/11923uPwbBZFjjGgGUA6NLw09EwE0CqkOc4q9oUmW1yo/edit?usp=sharing"",""ตาก!J377"")"),0)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IFERROR(__xludf.DUMMYFUNCTION("IMPORTRANGE(""https://docs.google.com/spreadsheets/d/11923uPwbBZFjjGgGUA6NLw09EwE0CqkOc4q9oUmW1yo/edit?usp=sharing"",""ตาก!I378"")"),0)</f>
        <v>0</v>
      </c>
      <c r="J483" s="198">
        <f ca="1">IFERROR(__xludf.DUMMYFUNCTION("IMPORTRANGE(""https://docs.google.com/spreadsheets/d/11923uPwbBZFjjGgGUA6NLw09EwE0CqkOc4q9oUmW1yo/edit?usp=sharing"",""ตาก!J378"")"),0)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IFERROR(__xludf.DUMMYFUNCTION("IMPORTRANGE(""https://docs.google.com/spreadsheets/d/11923uPwbBZFjjGgGUA6NLw09EwE0CqkOc4q9oUmW1yo/edit?usp=sharing"",""ตาก!I379"")"),0)</f>
        <v>0</v>
      </c>
      <c r="J484" s="198">
        <f ca="1">IFERROR(__xludf.DUMMYFUNCTION("IMPORTRANGE(""https://docs.google.com/spreadsheets/d/11923uPwbBZFjjGgGUA6NLw09EwE0CqkOc4q9oUmW1yo/edit?usp=sharing"",""ตาก!J379"")"),0)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IFERROR(__xludf.DUMMYFUNCTION("IMPORTRANGE(""https://docs.google.com/spreadsheets/d/11923uPwbBZFjjGgGUA6NLw09EwE0CqkOc4q9oUmW1yo/edit?usp=sharing"",""ตาก!I380"")"),0)</f>
        <v>0</v>
      </c>
      <c r="J485" s="198">
        <f ca="1">IFERROR(__xludf.DUMMYFUNCTION("IMPORTRANGE(""https://docs.google.com/spreadsheets/d/11923uPwbBZFjjGgGUA6NLw09EwE0CqkOc4q9oUmW1yo/edit?usp=sharing"",""ตาก!J380"")"),0)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IFERROR(__xludf.DUMMYFUNCTION("IMPORTRANGE(""https://docs.google.com/spreadsheets/d/11923uPwbBZFjjGgGUA6NLw09EwE0CqkOc4q9oUmW1yo/edit?usp=sharing"",""ตาก!I381"")"),0)</f>
        <v>0</v>
      </c>
      <c r="J486" s="198">
        <f ca="1">IFERROR(__xludf.DUMMYFUNCTION("IMPORTRANGE(""https://docs.google.com/spreadsheets/d/11923uPwbBZFjjGgGUA6NLw09EwE0CqkOc4q9oUmW1yo/edit?usp=sharing"",""ตาก!J381"")"),0)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IFERROR(__xludf.DUMMYFUNCTION("IMPORTRANGE(""https://docs.google.com/spreadsheets/d/11923uPwbBZFjjGgGUA6NLw09EwE0CqkOc4q9oUmW1yo/edit?usp=sharing"",""ตาก!I382"")"),0)</f>
        <v>0</v>
      </c>
      <c r="J487" s="428">
        <f ca="1">IFERROR(__xludf.DUMMYFUNCTION("IMPORTRANGE(""https://docs.google.com/spreadsheets/d/11923uPwbBZFjjGgGUA6NLw09EwE0CqkOc4q9oUmW1yo/edit?usp=sharing"",""ตาก!J382"")"),0)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IFERROR(__xludf.DUMMYFUNCTION("IMPORTRANGE(""https://docs.google.com/spreadsheets/d/11923uPwbBZFjjGgGUA6NLw09EwE0CqkOc4q9oUmW1yo/edit?usp=sharing"",""ตาก!I383"")"),0)</f>
        <v>0</v>
      </c>
      <c r="J488" s="428">
        <f ca="1">IFERROR(__xludf.DUMMYFUNCTION("IMPORTRANGE(""https://docs.google.com/spreadsheets/d/11923uPwbBZFjjGgGUA6NLw09EwE0CqkOc4q9oUmW1yo/edit?usp=sharing"",""ตาก!J383"")"),0)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IFERROR(__xludf.DUMMYFUNCTION("IMPORTRANGE(""https://docs.google.com/spreadsheets/d/11923uPwbBZFjjGgGUA6NLw09EwE0CqkOc4q9oUmW1yo/edit?usp=sharing"",""ตาก!I384"")"),0)</f>
        <v>0</v>
      </c>
      <c r="J489" s="198">
        <f ca="1">IFERROR(__xludf.DUMMYFUNCTION("IMPORTRANGE(""https://docs.google.com/spreadsheets/d/11923uPwbBZFjjGgGUA6NLw09EwE0CqkOc4q9oUmW1yo/edit?usp=sharing"",""ตาก!J384"")"),0)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IFERROR(__xludf.DUMMYFUNCTION("IMPORTRANGE(""https://docs.google.com/spreadsheets/d/11923uPwbBZFjjGgGUA6NLw09EwE0CqkOc4q9oUmW1yo/edit?usp=sharing"",""ตาก!I385"")"),0)</f>
        <v>0</v>
      </c>
      <c r="J490" s="198">
        <f ca="1">IFERROR(__xludf.DUMMYFUNCTION("IMPORTRANGE(""https://docs.google.com/spreadsheets/d/11923uPwbBZFjjGgGUA6NLw09EwE0CqkOc4q9oUmW1yo/edit?usp=sharing"",""ตาก!J385"")"),0)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IFERROR(__xludf.DUMMYFUNCTION("IMPORTRANGE(""https://docs.google.com/spreadsheets/d/11923uPwbBZFjjGgGUA6NLw09EwE0CqkOc4q9oUmW1yo/edit?usp=sharing"",""ตาก!I386"")"),0)</f>
        <v>0</v>
      </c>
      <c r="J491" s="198">
        <f ca="1">IFERROR(__xludf.DUMMYFUNCTION("IMPORTRANGE(""https://docs.google.com/spreadsheets/d/11923uPwbBZFjjGgGUA6NLw09EwE0CqkOc4q9oUmW1yo/edit?usp=sharing"",""ตาก!J386"")"),0)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IFERROR(__xludf.DUMMYFUNCTION("IMPORTRANGE(""https://docs.google.com/spreadsheets/d/11923uPwbBZFjjGgGUA6NLw09EwE0CqkOc4q9oUmW1yo/edit?usp=sharing"",""ตาก!I387"")"),0)</f>
        <v>0</v>
      </c>
      <c r="J492" s="198">
        <f ca="1">IFERROR(__xludf.DUMMYFUNCTION("IMPORTRANGE(""https://docs.google.com/spreadsheets/d/11923uPwbBZFjjGgGUA6NLw09EwE0CqkOc4q9oUmW1yo/edit?usp=sharing"",""ตาก!J387"")"),0)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IFERROR(__xludf.DUMMYFUNCTION("IMPORTRANGE(""https://docs.google.com/spreadsheets/d/11923uPwbBZFjjGgGUA6NLw09EwE0CqkOc4q9oUmW1yo/edit?usp=sharing"",""ตาก!I388"")"),0)</f>
        <v>0</v>
      </c>
      <c r="J493" s="198">
        <f ca="1">IFERROR(__xludf.DUMMYFUNCTION("IMPORTRANGE(""https://docs.google.com/spreadsheets/d/11923uPwbBZFjjGgGUA6NLw09EwE0CqkOc4q9oUmW1yo/edit?usp=sharing"",""ตาก!J388"")"),0)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IFERROR(__xludf.DUMMYFUNCTION("IMPORTRANGE(""https://docs.google.com/spreadsheets/d/11923uPwbBZFjjGgGUA6NLw09EwE0CqkOc4q9oUmW1yo/edit?usp=sharing"",""ตาก!I389"")"),0)</f>
        <v>0</v>
      </c>
      <c r="J494" s="444">
        <f ca="1">IFERROR(__xludf.DUMMYFUNCTION("IMPORTRANGE(""https://docs.google.com/spreadsheets/d/11923uPwbBZFjjGgGUA6NLw09EwE0CqkOc4q9oUmW1yo/edit?usp=sharing"",""ตาก!J389"")"),0)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IFERROR(__xludf.DUMMYFUNCTION("IMPORTRANGE(""https://docs.google.com/spreadsheets/d/11923uPwbBZFjjGgGUA6NLw09EwE0CqkOc4q9oUmW1yo/edit?usp=sharing"",""ตาก!I390"")"),0)</f>
        <v>0</v>
      </c>
      <c r="J495" s="444">
        <f ca="1">IFERROR(__xludf.DUMMYFUNCTION("IMPORTRANGE(""https://docs.google.com/spreadsheets/d/11923uPwbBZFjjGgGUA6NLw09EwE0CqkOc4q9oUmW1yo/edit?usp=sharing"",""ตาก!J390"")"),0)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IFERROR(__xludf.DUMMYFUNCTION("IMPORTRANGE(""https://docs.google.com/spreadsheets/d/11923uPwbBZFjjGgGUA6NLw09EwE0CqkOc4q9oUmW1yo/edit?usp=sharing"",""ตาก!I391"")"),0)</f>
        <v>0</v>
      </c>
      <c r="J496" s="444">
        <f ca="1">IFERROR(__xludf.DUMMYFUNCTION("IMPORTRANGE(""https://docs.google.com/spreadsheets/d/11923uPwbBZFjjGgGUA6NLw09EwE0CqkOc4q9oUmW1yo/edit?usp=sharing"",""ตาก!J391"")"),0)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IFERROR(__xludf.DUMMYFUNCTION("IMPORTRANGE(""https://docs.google.com/spreadsheets/d/11923uPwbBZFjjGgGUA6NLw09EwE0CqkOc4q9oUmW1yo/edit?usp=sharing"",""ตาก!I392"")"),364)</f>
        <v>364</v>
      </c>
      <c r="J497" s="451">
        <f ca="1">IFERROR(__xludf.DUMMYFUNCTION("IMPORTRANGE(""https://docs.google.com/spreadsheets/d/11923uPwbBZFjjGgGUA6NLw09EwE0CqkOc4q9oUmW1yo/edit?usp=sharing"",""ตาก!J392"")"),0)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IFERROR(__xludf.DUMMYFUNCTION("IMPORTRANGE(""https://docs.google.com/spreadsheets/d/11923uPwbBZFjjGgGUA6NLw09EwE0CqkOc4q9oUmW1yo/edit?usp=sharing"",""ตาก!I393"")"),364)</f>
        <v>364</v>
      </c>
      <c r="J498" s="428">
        <f ca="1">IFERROR(__xludf.DUMMYFUNCTION("IMPORTRANGE(""https://docs.google.com/spreadsheets/d/11923uPwbBZFjjGgGUA6NLw09EwE0CqkOc4q9oUmW1yo/edit?usp=sharing"",""ตาก!J393"")"),0)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IFERROR(__xludf.DUMMYFUNCTION("IMPORTRANGE(""https://docs.google.com/spreadsheets/d/11923uPwbBZFjjGgGUA6NLw09EwE0CqkOc4q9oUmW1yo/edit?usp=sharing"",""ตาก!I394"")"),31)</f>
        <v>31</v>
      </c>
      <c r="J499" s="428">
        <f ca="1">IFERROR(__xludf.DUMMYFUNCTION("IMPORTRANGE(""https://docs.google.com/spreadsheets/d/11923uPwbBZFjjGgGUA6NLw09EwE0CqkOc4q9oUmW1yo/edit?usp=sharing"",""ตาก!J394"")"),0)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IFERROR(__xludf.DUMMYFUNCTION("IMPORTRANGE(""https://docs.google.com/spreadsheets/d/11923uPwbBZFjjGgGUA6NLw09EwE0CqkOc4q9oUmW1yo/edit?usp=sharing"",""ตาก!I395"")"),0)</f>
        <v>0</v>
      </c>
      <c r="J500" s="170">
        <f ca="1">IFERROR(__xludf.DUMMYFUNCTION("IMPORTRANGE(""https://docs.google.com/spreadsheets/d/11923uPwbBZFjjGgGUA6NLw09EwE0CqkOc4q9oUmW1yo/edit?usp=sharing"",""ตาก!J395"")"),0)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IFERROR(__xludf.DUMMYFUNCTION("IMPORTRANGE(""https://docs.google.com/spreadsheets/d/11923uPwbBZFjjGgGUA6NLw09EwE0CqkOc4q9oUmW1yo/edit?usp=sharing"",""ตาก!I396"")"),0)</f>
        <v>0</v>
      </c>
      <c r="J501" s="170">
        <f ca="1">IFERROR(__xludf.DUMMYFUNCTION("IMPORTRANGE(""https://docs.google.com/spreadsheets/d/11923uPwbBZFjjGgGUA6NLw09EwE0CqkOc4q9oUmW1yo/edit?usp=sharing"",""ตาก!J396"")"),0)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IFERROR(__xludf.DUMMYFUNCTION("IMPORTRANGE(""https://docs.google.com/spreadsheets/d/11923uPwbBZFjjGgGUA6NLw09EwE0CqkOc4q9oUmW1yo/edit?usp=sharing"",""ตาก!I397"")"),0)</f>
        <v>0</v>
      </c>
      <c r="J502" s="198">
        <f ca="1">IFERROR(__xludf.DUMMYFUNCTION("IMPORTRANGE(""https://docs.google.com/spreadsheets/d/11923uPwbBZFjjGgGUA6NLw09EwE0CqkOc4q9oUmW1yo/edit?usp=sharing"",""ตาก!J397"")"),0)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IFERROR(__xludf.DUMMYFUNCTION("IMPORTRANGE(""https://docs.google.com/spreadsheets/d/11923uPwbBZFjjGgGUA6NLw09EwE0CqkOc4q9oUmW1yo/edit?usp=sharing"",""ตาก!I398"")"),0)</f>
        <v>0</v>
      </c>
      <c r="J503" s="207">
        <f ca="1">IFERROR(__xludf.DUMMYFUNCTION("IMPORTRANGE(""https://docs.google.com/spreadsheets/d/11923uPwbBZFjjGgGUA6NLw09EwE0CqkOc4q9oUmW1yo/edit?usp=sharing"",""ตาก!J398"")"),0)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IFERROR(__xludf.DUMMYFUNCTION("IMPORTRANGE(""https://docs.google.com/spreadsheets/d/11923uPwbBZFjjGgGUA6NLw09EwE0CqkOc4q9oUmW1yo/edit?usp=sharing"",""ตาก!I399"")"),0)</f>
        <v>0</v>
      </c>
      <c r="J504" s="198">
        <f ca="1">IFERROR(__xludf.DUMMYFUNCTION("IMPORTRANGE(""https://docs.google.com/spreadsheets/d/11923uPwbBZFjjGgGUA6NLw09EwE0CqkOc4q9oUmW1yo/edit?usp=sharing"",""ตาก!J399"")"),0)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IFERROR(__xludf.DUMMYFUNCTION("IMPORTRANGE(""https://docs.google.com/spreadsheets/d/11923uPwbBZFjjGgGUA6NLw09EwE0CqkOc4q9oUmW1yo/edit?usp=sharing"",""ตาก!I400"")"),0)</f>
        <v>0</v>
      </c>
      <c r="J505" s="207">
        <f ca="1">IFERROR(__xludf.DUMMYFUNCTION("IMPORTRANGE(""https://docs.google.com/spreadsheets/d/11923uPwbBZFjjGgGUA6NLw09EwE0CqkOc4q9oUmW1yo/edit?usp=sharing"",""ตาก!J400"")"),0)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IFERROR(__xludf.DUMMYFUNCTION("IMPORTRANGE(""https://docs.google.com/spreadsheets/d/11923uPwbBZFjjGgGUA6NLw09EwE0CqkOc4q9oUmW1yo/edit?usp=sharing"",""ตาก!I401"")"),0)</f>
        <v>0</v>
      </c>
      <c r="J506" s="198">
        <f ca="1">IFERROR(__xludf.DUMMYFUNCTION("IMPORTRANGE(""https://docs.google.com/spreadsheets/d/11923uPwbBZFjjGgGUA6NLw09EwE0CqkOc4q9oUmW1yo/edit?usp=sharing"",""ตาก!J401"")"),0)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IFERROR(__xludf.DUMMYFUNCTION("IMPORTRANGE(""https://docs.google.com/spreadsheets/d/11923uPwbBZFjjGgGUA6NLw09EwE0CqkOc4q9oUmW1yo/edit?usp=sharing"",""ตาก!I402"")"),0)</f>
        <v>0</v>
      </c>
      <c r="J507" s="207">
        <f ca="1">IFERROR(__xludf.DUMMYFUNCTION("IMPORTRANGE(""https://docs.google.com/spreadsheets/d/11923uPwbBZFjjGgGUA6NLw09EwE0CqkOc4q9oUmW1yo/edit?usp=sharing"",""ตาก!J402"")"),0)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IFERROR(__xludf.DUMMYFUNCTION("IMPORTRANGE(""https://docs.google.com/spreadsheets/d/11923uPwbBZFjjGgGUA6NLw09EwE0CqkOc4q9oUmW1yo/edit?usp=sharing"",""ตาก!I403"")"),0)</f>
        <v>0</v>
      </c>
      <c r="J508" s="170">
        <f ca="1">IFERROR(__xludf.DUMMYFUNCTION("IMPORTRANGE(""https://docs.google.com/spreadsheets/d/11923uPwbBZFjjGgGUA6NLw09EwE0CqkOc4q9oUmW1yo/edit?usp=sharing"",""ตาก!J403"")"),0)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IFERROR(__xludf.DUMMYFUNCTION("IMPORTRANGE(""https://docs.google.com/spreadsheets/d/11923uPwbBZFjjGgGUA6NLw09EwE0CqkOc4q9oUmW1yo/edit?usp=sharing"",""ตาก!I404"")"),0)</f>
        <v>0</v>
      </c>
      <c r="J509" s="170">
        <f ca="1">IFERROR(__xludf.DUMMYFUNCTION("IMPORTRANGE(""https://docs.google.com/spreadsheets/d/11923uPwbBZFjjGgGUA6NLw09EwE0CqkOc4q9oUmW1yo/edit?usp=sharing"",""ตาก!J404"")"),0)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IFERROR(__xludf.DUMMYFUNCTION("IMPORTRANGE(""https://docs.google.com/spreadsheets/d/11923uPwbBZFjjGgGUA6NLw09EwE0CqkOc4q9oUmW1yo/edit?usp=sharing"",""ตาก!I405"")"),0)</f>
        <v>0</v>
      </c>
      <c r="J510" s="207">
        <f ca="1">IFERROR(__xludf.DUMMYFUNCTION("IMPORTRANGE(""https://docs.google.com/spreadsheets/d/11923uPwbBZFjjGgGUA6NLw09EwE0CqkOc4q9oUmW1yo/edit?usp=sharing"",""ตาก!J405"")"),0)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IFERROR(__xludf.DUMMYFUNCTION("IMPORTRANGE(""https://docs.google.com/spreadsheets/d/11923uPwbBZFjjGgGUA6NLw09EwE0CqkOc4q9oUmW1yo/edit?usp=sharing"",""ตาก!I406"")"),0)</f>
        <v>0</v>
      </c>
      <c r="J511" s="207">
        <f ca="1">IFERROR(__xludf.DUMMYFUNCTION("IMPORTRANGE(""https://docs.google.com/spreadsheets/d/11923uPwbBZFjjGgGUA6NLw09EwE0CqkOc4q9oUmW1yo/edit?usp=sharing"",""ตาก!J406"")"),0)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IFERROR(__xludf.DUMMYFUNCTION("IMPORTRANGE(""https://docs.google.com/spreadsheets/d/11923uPwbBZFjjGgGUA6NLw09EwE0CqkOc4q9oUmW1yo/edit?usp=sharing"",""ตาก!I407"")"),0)</f>
        <v>0</v>
      </c>
      <c r="J512" s="207">
        <f ca="1">IFERROR(__xludf.DUMMYFUNCTION("IMPORTRANGE(""https://docs.google.com/spreadsheets/d/11923uPwbBZFjjGgGUA6NLw09EwE0CqkOc4q9oUmW1yo/edit?usp=sharing"",""ตาก!J407"")"),0)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IFERROR(__xludf.DUMMYFUNCTION("IMPORTRANGE(""https://docs.google.com/spreadsheets/d/11923uPwbBZFjjGgGUA6NLw09EwE0CqkOc4q9oUmW1yo/edit?usp=sharing"",""ตาก!I408"")"),0)</f>
        <v>0</v>
      </c>
      <c r="J513" s="207">
        <f ca="1">IFERROR(__xludf.DUMMYFUNCTION("IMPORTRANGE(""https://docs.google.com/spreadsheets/d/11923uPwbBZFjjGgGUA6NLw09EwE0CqkOc4q9oUmW1yo/edit?usp=sharing"",""ตาก!J408"")"),0)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IFERROR(__xludf.DUMMYFUNCTION("IMPORTRANGE(""https://docs.google.com/spreadsheets/d/11923uPwbBZFjjGgGUA6NLw09EwE0CqkOc4q9oUmW1yo/edit?usp=sharing"",""ตาก!I409"")"),0)</f>
        <v>0</v>
      </c>
      <c r="J514" s="207">
        <f ca="1">IFERROR(__xludf.DUMMYFUNCTION("IMPORTRANGE(""https://docs.google.com/spreadsheets/d/11923uPwbBZFjjGgGUA6NLw09EwE0CqkOc4q9oUmW1yo/edit?usp=sharing"",""ตาก!J409"")"),0)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IFERROR(__xludf.DUMMYFUNCTION("IMPORTRANGE(""https://docs.google.com/spreadsheets/d/11923uPwbBZFjjGgGUA6NLw09EwE0CqkOc4q9oUmW1yo/edit?usp=sharing"",""ตาก!I410"")"),0)</f>
        <v>0</v>
      </c>
      <c r="J515" s="207">
        <f ca="1">IFERROR(__xludf.DUMMYFUNCTION("IMPORTRANGE(""https://docs.google.com/spreadsheets/d/11923uPwbBZFjjGgGUA6NLw09EwE0CqkOc4q9oUmW1yo/edit?usp=sharing"",""ตาก!J410"")"),0)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IFERROR(__xludf.DUMMYFUNCTION("IMPORTRANGE(""https://docs.google.com/spreadsheets/d/11923uPwbBZFjjGgGUA6NLw09EwE0CqkOc4q9oUmW1yo/edit?usp=sharing"",""ตาก!I411"")"),0)</f>
        <v>0</v>
      </c>
      <c r="J516" s="276">
        <f ca="1">IFERROR(__xludf.DUMMYFUNCTION("IMPORTRANGE(""https://docs.google.com/spreadsheets/d/11923uPwbBZFjjGgGUA6NLw09EwE0CqkOc4q9oUmW1yo/edit?usp=sharing"",""ตาก!J411"")"),0)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IFERROR(__xludf.DUMMYFUNCTION("IMPORTRANGE(""https://docs.google.com/spreadsheets/d/11923uPwbBZFjjGgGUA6NLw09EwE0CqkOc4q9oUmW1yo/edit?usp=sharing"",""ตาก!I412"")"),0)</f>
        <v>0</v>
      </c>
      <c r="J517" s="292">
        <f ca="1">IFERROR(__xludf.DUMMYFUNCTION("IMPORTRANGE(""https://docs.google.com/spreadsheets/d/11923uPwbBZFjjGgGUA6NLw09EwE0CqkOc4q9oUmW1yo/edit?usp=sharing"",""ตาก!J412"")"),0)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IFERROR(__xludf.DUMMYFUNCTION("IMPORTRANGE(""https://docs.google.com/spreadsheets/d/11923uPwbBZFjjGgGUA6NLw09EwE0CqkOc4q9oUmW1yo/edit?usp=sharing"",""ตาก!I413"")"),0)</f>
        <v>0</v>
      </c>
      <c r="J518" s="292">
        <f ca="1">IFERROR(__xludf.DUMMYFUNCTION("IMPORTRANGE(""https://docs.google.com/spreadsheets/d/11923uPwbBZFjjGgGUA6NLw09EwE0CqkOc4q9oUmW1yo/edit?usp=sharing"",""ตาก!J413"")"),0)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IFERROR(__xludf.DUMMYFUNCTION("IMPORTRANGE(""https://docs.google.com/spreadsheets/d/11923uPwbBZFjjGgGUA6NLw09EwE0CqkOc4q9oUmW1yo/edit?usp=sharing"",""ตาก!I414"")"),0)</f>
        <v>0</v>
      </c>
      <c r="J519" s="197">
        <f ca="1">IFERROR(__xludf.DUMMYFUNCTION("IMPORTRANGE(""https://docs.google.com/spreadsheets/d/11923uPwbBZFjjGgGUA6NLw09EwE0CqkOc4q9oUmW1yo/edit?usp=sharing"",""ตาก!J414"")"),0)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IFERROR(__xludf.DUMMYFUNCTION("IMPORTRANGE(""https://docs.google.com/spreadsheets/d/11923uPwbBZFjjGgGUA6NLw09EwE0CqkOc4q9oUmW1yo/edit?usp=sharing"",""ตาก!I415"")"),0)</f>
        <v>0</v>
      </c>
      <c r="J520" s="197">
        <f ca="1">IFERROR(__xludf.DUMMYFUNCTION("IMPORTRANGE(""https://docs.google.com/spreadsheets/d/11923uPwbBZFjjGgGUA6NLw09EwE0CqkOc4q9oUmW1yo/edit?usp=sharing"",""ตาก!J415"")"),0)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IFERROR(__xludf.DUMMYFUNCTION("IMPORTRANGE(""https://docs.google.com/spreadsheets/d/11923uPwbBZFjjGgGUA6NLw09EwE0CqkOc4q9oUmW1yo/edit?usp=sharing"",""ตาก!I416"")"),0)</f>
        <v>0</v>
      </c>
      <c r="J521" s="197">
        <f ca="1">IFERROR(__xludf.DUMMYFUNCTION("IMPORTRANGE(""https://docs.google.com/spreadsheets/d/11923uPwbBZFjjGgGUA6NLw09EwE0CqkOc4q9oUmW1yo/edit?usp=sharing"",""ตาก!J416"")"),0)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IFERROR(__xludf.DUMMYFUNCTION("IMPORTRANGE(""https://docs.google.com/spreadsheets/d/11923uPwbBZFjjGgGUA6NLw09EwE0CqkOc4q9oUmW1yo/edit?usp=sharing"",""ตาก!I417"")"),0)</f>
        <v>0</v>
      </c>
      <c r="J522" s="197">
        <f ca="1">IFERROR(__xludf.DUMMYFUNCTION("IMPORTRANGE(""https://docs.google.com/spreadsheets/d/11923uPwbBZFjjGgGUA6NLw09EwE0CqkOc4q9oUmW1yo/edit?usp=sharing"",""ตาก!J417"")"),0)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IFERROR(__xludf.DUMMYFUNCTION("IMPORTRANGE(""https://docs.google.com/spreadsheets/d/11923uPwbBZFjjGgGUA6NLw09EwE0CqkOc4q9oUmW1yo/edit?usp=sharing"",""ตาก!I418"")"),0)</f>
        <v>0</v>
      </c>
      <c r="J523" s="197">
        <f ca="1">IFERROR(__xludf.DUMMYFUNCTION("IMPORTRANGE(""https://docs.google.com/spreadsheets/d/11923uPwbBZFjjGgGUA6NLw09EwE0CqkOc4q9oUmW1yo/edit?usp=sharing"",""ตาก!J418"")"),112)</f>
        <v>112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IFERROR(__xludf.DUMMYFUNCTION("IMPORTRANGE(""https://docs.google.com/spreadsheets/d/11923uPwbBZFjjGgGUA6NLw09EwE0CqkOc4q9oUmW1yo/edit?usp=sharing"",""ตาก!I419"")"),0)</f>
        <v>0</v>
      </c>
      <c r="J524" s="197">
        <f ca="1">IFERROR(__xludf.DUMMYFUNCTION("IMPORTRANGE(""https://docs.google.com/spreadsheets/d/11923uPwbBZFjjGgGUA6NLw09EwE0CqkOc4q9oUmW1yo/edit?usp=sharing"",""ตาก!J419"")"),3)</f>
        <v>3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IFERROR(__xludf.DUMMYFUNCTION("IMPORTRANGE(""https://docs.google.com/spreadsheets/d/11923uPwbBZFjjGgGUA6NLw09EwE0CqkOc4q9oUmW1yo/edit?usp=sharing"",""ตาก!I420"")"),112)</f>
        <v>112</v>
      </c>
      <c r="J525" s="292">
        <f ca="1">IFERROR(__xludf.DUMMYFUNCTION("IMPORTRANGE(""https://docs.google.com/spreadsheets/d/11923uPwbBZFjjGgGUA6NLw09EwE0CqkOc4q9oUmW1yo/edit?usp=sharing"",""ตาก!J420"")"),0)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IFERROR(__xludf.DUMMYFUNCTION("IMPORTRANGE(""https://docs.google.com/spreadsheets/d/11923uPwbBZFjjGgGUA6NLw09EwE0CqkOc4q9oUmW1yo/edit?usp=sharing"",""ตาก!I421"")"),3)</f>
        <v>3</v>
      </c>
      <c r="J526" s="292">
        <f ca="1">IFERROR(__xludf.DUMMYFUNCTION("IMPORTRANGE(""https://docs.google.com/spreadsheets/d/11923uPwbBZFjjGgGUA6NLw09EwE0CqkOc4q9oUmW1yo/edit?usp=sharing"",""ตาก!J421"")"),0)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IFERROR(__xludf.DUMMYFUNCTION("IMPORTRANGE(""https://docs.google.com/spreadsheets/d/11923uPwbBZFjjGgGUA6NLw09EwE0CqkOc4q9oUmW1yo/edit?usp=sharing"",""ตาก!I422"")"),0)</f>
        <v>0</v>
      </c>
      <c r="J527" s="207">
        <f ca="1">IFERROR(__xludf.DUMMYFUNCTION("IMPORTRANGE(""https://docs.google.com/spreadsheets/d/11923uPwbBZFjjGgGUA6NLw09EwE0CqkOc4q9oUmW1yo/edit?usp=sharing"",""ตาก!J422"")"),0)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IFERROR(__xludf.DUMMYFUNCTION("IMPORTRANGE(""https://docs.google.com/spreadsheets/d/11923uPwbBZFjjGgGUA6NLw09EwE0CqkOc4q9oUmW1yo/edit?usp=sharing"",""ตาก!I423"")"),0)</f>
        <v>0</v>
      </c>
      <c r="J528" s="207">
        <f ca="1">IFERROR(__xludf.DUMMYFUNCTION("IMPORTRANGE(""https://docs.google.com/spreadsheets/d/11923uPwbBZFjjGgGUA6NLw09EwE0CqkOc4q9oUmW1yo/edit?usp=sharing"",""ตาก!J423"")"),0)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IFERROR(__xludf.DUMMYFUNCTION("IMPORTRANGE(""https://docs.google.com/spreadsheets/d/11923uPwbBZFjjGgGUA6NLw09EwE0CqkOc4q9oUmW1yo/edit?usp=sharing"",""ตาก!I424"")"),0)</f>
        <v>0</v>
      </c>
      <c r="J529" s="207">
        <f ca="1">IFERROR(__xludf.DUMMYFUNCTION("IMPORTRANGE(""https://docs.google.com/spreadsheets/d/11923uPwbBZFjjGgGUA6NLw09EwE0CqkOc4q9oUmW1yo/edit?usp=sharing"",""ตาก!J424"")"),0)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IFERROR(__xludf.DUMMYFUNCTION("IMPORTRANGE(""https://docs.google.com/spreadsheets/d/11923uPwbBZFjjGgGUA6NLw09EwE0CqkOc4q9oUmW1yo/edit?usp=sharing"",""ตาก!I425"")"),0)</f>
        <v>0</v>
      </c>
      <c r="J530" s="207">
        <f ca="1">IFERROR(__xludf.DUMMYFUNCTION("IMPORTRANGE(""https://docs.google.com/spreadsheets/d/11923uPwbBZFjjGgGUA6NLw09EwE0CqkOc4q9oUmW1yo/edit?usp=sharing"",""ตาก!J425"")"),0)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IFERROR(__xludf.DUMMYFUNCTION("IMPORTRANGE(""https://docs.google.com/spreadsheets/d/11923uPwbBZFjjGgGUA6NLw09EwE0CqkOc4q9oUmW1yo/edit?usp=sharing"",""ตาก!I426"")"),0)</f>
        <v>0</v>
      </c>
      <c r="J531" s="207">
        <f ca="1">IFERROR(__xludf.DUMMYFUNCTION("IMPORTRANGE(""https://docs.google.com/spreadsheets/d/11923uPwbBZFjjGgGUA6NLw09EwE0CqkOc4q9oUmW1yo/edit?usp=sharing"",""ตาก!J426"")"),0)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IFERROR(__xludf.DUMMYFUNCTION("IMPORTRANGE(""https://docs.google.com/spreadsheets/d/11923uPwbBZFjjGgGUA6NLw09EwE0CqkOc4q9oUmW1yo/edit?usp=sharing"",""ตาก!I427"")"),0)</f>
        <v>0</v>
      </c>
      <c r="J532" s="474">
        <f ca="1">IFERROR(__xludf.DUMMYFUNCTION("IMPORTRANGE(""https://docs.google.com/spreadsheets/d/11923uPwbBZFjjGgGUA6NLw09EwE0CqkOc4q9oUmW1yo/edit?usp=sharing"",""ตาก!J427"")"),0)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IFERROR(__xludf.DUMMYFUNCTION("IMPORTRANGE(""https://docs.google.com/spreadsheets/d/11923uPwbBZFjjGgGUA6NLw09EwE0CqkOc4q9oUmW1yo/edit?usp=sharing"",""ตาก!I428"")"),22)</f>
        <v>22</v>
      </c>
      <c r="J533" s="418">
        <f ca="1">IFERROR(__xludf.DUMMYFUNCTION("IMPORTRANGE(""https://docs.google.com/spreadsheets/d/11923uPwbBZFjjGgGUA6NLw09EwE0CqkOc4q9oUmW1yo/edit?usp=sharing"",""ตาก!J428"")"),22)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IFERROR(__xludf.DUMMYFUNCTION("IMPORTRANGE(""https://docs.google.com/spreadsheets/d/11923uPwbBZFjjGgGUA6NLw09EwE0CqkOc4q9oUmW1yo/edit?usp=sharing"",""ตาก!L428"")"),34340)</f>
        <v>34340</v>
      </c>
      <c r="M533" s="420"/>
      <c r="N533" s="420">
        <f ca="1">IFERROR(__xludf.DUMMYFUNCTION("IMPORTRANGE(""https://docs.google.com/spreadsheets/d/11923uPwbBZFjjGgGUA6NLw09EwE0CqkOc4q9oUmW1yo/edit?usp=sharing"",""ตาก!M428"")"),18740)</f>
        <v>18740</v>
      </c>
      <c r="O533" s="420">
        <f t="shared" ref="O533:O537" ca="1" si="118">+IF(L533&gt;0,N533*100/L533,0)</f>
        <v>54.571927781013393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IFERROR(__xludf.DUMMYFUNCTION("IMPORTRANGE(""https://docs.google.com/spreadsheets/d/11923uPwbBZFjjGgGUA6NLw09EwE0CqkOc4q9oUmW1yo/edit?usp=sharing"",""ตาก!L429"")"),0)</f>
        <v>0</v>
      </c>
      <c r="M534" s="172"/>
      <c r="N534" s="178">
        <f ca="1">IFERROR(__xludf.DUMMYFUNCTION("IMPORTRANGE(""https://docs.google.com/spreadsheets/d/11923uPwbBZFjjGgGUA6NLw09EwE0CqkOc4q9oUmW1yo/edit?usp=sharing"",""ตาก!M429"")"),0)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IFERROR(__xludf.DUMMYFUNCTION("IMPORTRANGE(""https://docs.google.com/spreadsheets/d/11923uPwbBZFjjGgGUA6NLw09EwE0CqkOc4q9oUmW1yo/edit?usp=sharing"",""ตาก!L430"")"),34340)</f>
        <v>34340</v>
      </c>
      <c r="M535" s="173"/>
      <c r="N535" s="178">
        <f ca="1">IFERROR(__xludf.DUMMYFUNCTION("IMPORTRANGE(""https://docs.google.com/spreadsheets/d/11923uPwbBZFjjGgGUA6NLw09EwE0CqkOc4q9oUmW1yo/edit?usp=sharing"",""ตาก!M430"")"),18740)</f>
        <v>18740</v>
      </c>
      <c r="O535" s="178">
        <f t="shared" ca="1" si="118"/>
        <v>54.571927781013393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IFERROR(__xludf.DUMMYFUNCTION("IMPORTRANGE(""https://docs.google.com/spreadsheets/d/11923uPwbBZFjjGgGUA6NLw09EwE0CqkOc4q9oUmW1yo/edit?usp=sharing"",""ตาก!L431"")"),0)</f>
        <v>0</v>
      </c>
      <c r="M536" s="178"/>
      <c r="N536" s="178">
        <f ca="1">IFERROR(__xludf.DUMMYFUNCTION("IMPORTRANGE(""https://docs.google.com/spreadsheets/d/11923uPwbBZFjjGgGUA6NLw09EwE0CqkOc4q9oUmW1yo/edit?usp=sharing"",""ตาก!M431"")"),0)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IFERROR(__xludf.DUMMYFUNCTION("IMPORTRANGE(""https://docs.google.com/spreadsheets/d/11923uPwbBZFjjGgGUA6NLw09EwE0CqkOc4q9oUmW1yo/edit?usp=sharing"",""ตาก!L432"")"),34340)</f>
        <v>34340</v>
      </c>
      <c r="M537" s="178"/>
      <c r="N537" s="178">
        <f ca="1">IFERROR(__xludf.DUMMYFUNCTION("IMPORTRANGE(""https://docs.google.com/spreadsheets/d/11923uPwbBZFjjGgGUA6NLw09EwE0CqkOc4q9oUmW1yo/edit?usp=sharing"",""ตาก!M432"")"),18740)</f>
        <v>18740</v>
      </c>
      <c r="O537" s="178">
        <f t="shared" ca="1" si="118"/>
        <v>54.571927781013393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IFERROR(__xludf.DUMMYFUNCTION("IMPORTRANGE(""https://docs.google.com/spreadsheets/d/11923uPwbBZFjjGgGUA6NLw09EwE0CqkOc4q9oUmW1yo/edit?usp=sharing"",""ตาก!M433"")"),18740)</f>
        <v>18740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IFERROR(__xludf.DUMMYFUNCTION("IMPORTRANGE(""https://docs.google.com/spreadsheets/d/11923uPwbBZFjjGgGUA6NLw09EwE0CqkOc4q9oUmW1yo/edit?usp=sharing"",""ตาก!M434"")"),0)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IFERROR(__xludf.DUMMYFUNCTION("IMPORTRANGE(""https://docs.google.com/spreadsheets/d/11923uPwbBZFjjGgGUA6NLw09EwE0CqkOc4q9oUmW1yo/edit?usp=sharing"",""ตาก!M435"")"),0)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IFERROR(__xludf.DUMMYFUNCTION("IMPORTRANGE(""https://docs.google.com/spreadsheets/d/11923uPwbBZFjjGgGUA6NLw09EwE0CqkOc4q9oUmW1yo/edit?usp=sharing"",""ตาก!M436"")"),0)</f>
        <v>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IFERROR(__xludf.DUMMYFUNCTION("IMPORTRANGE(""https://docs.google.com/spreadsheets/d/11923uPwbBZFjjGgGUA6NLw09EwE0CqkOc4q9oUmW1yo/edit?usp=sharing"",""ตาก!J438"")"),0)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IFERROR(__xludf.DUMMYFUNCTION("IMPORTRANGE(""https://docs.google.com/spreadsheets/d/11923uPwbBZFjjGgGUA6NLw09EwE0CqkOc4q9oUmW1yo/edit?usp=sharing"",""ตาก!J439"")"),1)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IFERROR(__xludf.DUMMYFUNCTION("IMPORTRANGE(""https://docs.google.com/spreadsheets/d/11923uPwbBZFjjGgGUA6NLw09EwE0CqkOc4q9oUmW1yo/edit?usp=sharing"",""ตาก!J440"")"),1)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IFERROR(__xludf.DUMMYFUNCTION("IMPORTRANGE(""https://docs.google.com/spreadsheets/d/11923uPwbBZFjjGgGUA6NLw09EwE0CqkOc4q9oUmW1yo/edit?usp=sharing"",""ตาก!J441"")"),1)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IFERROR(__xludf.DUMMYFUNCTION("IMPORTRANGE(""https://docs.google.com/spreadsheets/d/11923uPwbBZFjjGgGUA6NLw09EwE0CqkOc4q9oUmW1yo/edit?usp=sharing"",""ตาก!I442"")"),22)</f>
        <v>22</v>
      </c>
      <c r="J547" s="198">
        <f ca="1">IFERROR(__xludf.DUMMYFUNCTION("IMPORTRANGE(""https://docs.google.com/spreadsheets/d/11923uPwbBZFjjGgGUA6NLw09EwE0CqkOc4q9oUmW1yo/edit?usp=sharing"",""ตาก!J442"")"),22)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IFERROR(__xludf.DUMMYFUNCTION("IMPORTRANGE(""https://docs.google.com/spreadsheets/d/11923uPwbBZFjjGgGUA6NLw09EwE0CqkOc4q9oUmW1yo/edit?usp=sharing"",""ตาก!J166"")"),0)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IFERROR(__xludf.DUMMYFUNCTION("IMPORTRANGE(""https://docs.google.com/spreadsheets/d/11923uPwbBZFjjGgGUA6NLw09EwE0CqkOc4q9oUmW1yo/edit?usp=sharing"",""ตาก!J444"")"),0)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IFERROR(__xludf.DUMMYFUNCTION("IMPORTRANGE(""https://docs.google.com/spreadsheets/d/11923uPwbBZFjjGgGUA6NLw09EwE0CqkOc4q9oUmW1yo/edit?usp=sharing"",""ตาก!J445"")"),0)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IFERROR(__xludf.DUMMYFUNCTION("IMPORTRANGE(""https://docs.google.com/spreadsheets/d/11923uPwbBZFjjGgGUA6NLw09EwE0CqkOc4q9oUmW1yo/edit?usp=sharing"",""ตาก!I446"")"),0)</f>
        <v>0</v>
      </c>
      <c r="J551" s="418">
        <f ca="1">IFERROR(__xludf.DUMMYFUNCTION("IMPORTRANGE(""https://docs.google.com/spreadsheets/d/11923uPwbBZFjjGgGUA6NLw09EwE0CqkOc4q9oUmW1yo/edit?usp=sharing"",""ตาก!J446"")"),0)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IFERROR(__xludf.DUMMYFUNCTION("IMPORTRANGE(""https://docs.google.com/spreadsheets/d/11923uPwbBZFjjGgGUA6NLw09EwE0CqkOc4q9oUmW1yo/edit?usp=sharing"",""ตาก!L446"")"),0)</f>
        <v>0</v>
      </c>
      <c r="M551" s="420"/>
      <c r="N551" s="420">
        <f ca="1">IFERROR(__xludf.DUMMYFUNCTION("IMPORTRANGE(""https://docs.google.com/spreadsheets/d/11923uPwbBZFjjGgGUA6NLw09EwE0CqkOc4q9oUmW1yo/edit?usp=sharing"",""ตาก!M446"")"),0)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IFERROR(__xludf.DUMMYFUNCTION("IMPORTRANGE(""https://docs.google.com/spreadsheets/d/11923uPwbBZFjjGgGUA6NLw09EwE0CqkOc4q9oUmW1yo/edit?usp=sharing"",""ตาก!L447"")"),0)</f>
        <v>0</v>
      </c>
      <c r="M552" s="172"/>
      <c r="N552" s="178">
        <f ca="1">IFERROR(__xludf.DUMMYFUNCTION("IMPORTRANGE(""https://docs.google.com/spreadsheets/d/11923uPwbBZFjjGgGUA6NLw09EwE0CqkOc4q9oUmW1yo/edit?usp=sharing"",""ตาก!M447"")"),0)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IFERROR(__xludf.DUMMYFUNCTION("IMPORTRANGE(""https://docs.google.com/spreadsheets/d/11923uPwbBZFjjGgGUA6NLw09EwE0CqkOc4q9oUmW1yo/edit?usp=sharing"",""ตาก!L448"")"),0)</f>
        <v>0</v>
      </c>
      <c r="M553" s="173"/>
      <c r="N553" s="178">
        <f ca="1">IFERROR(__xludf.DUMMYFUNCTION("IMPORTRANGE(""https://docs.google.com/spreadsheets/d/11923uPwbBZFjjGgGUA6NLw09EwE0CqkOc4q9oUmW1yo/edit?usp=sharing"",""ตาก!M448"")"),0)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IFERROR(__xludf.DUMMYFUNCTION("IMPORTRANGE(""https://docs.google.com/spreadsheets/d/11923uPwbBZFjjGgGUA6NLw09EwE0CqkOc4q9oUmW1yo/edit?usp=sharing"",""ตาก!L449"")"),0)</f>
        <v>0</v>
      </c>
      <c r="M554" s="178"/>
      <c r="N554" s="178">
        <f ca="1">IFERROR(__xludf.DUMMYFUNCTION("IMPORTRANGE(""https://docs.google.com/spreadsheets/d/11923uPwbBZFjjGgGUA6NLw09EwE0CqkOc4q9oUmW1yo/edit?usp=sharing"",""ตาก!M449"")"),0)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IFERROR(__xludf.DUMMYFUNCTION("IMPORTRANGE(""https://docs.google.com/spreadsheets/d/11923uPwbBZFjjGgGUA6NLw09EwE0CqkOc4q9oUmW1yo/edit?usp=sharing"",""ตาก!L450"")"),0)</f>
        <v>0</v>
      </c>
      <c r="M555" s="178"/>
      <c r="N555" s="178">
        <f ca="1">IFERROR(__xludf.DUMMYFUNCTION("IMPORTRANGE(""https://docs.google.com/spreadsheets/d/11923uPwbBZFjjGgGUA6NLw09EwE0CqkOc4q9oUmW1yo/edit?usp=sharing"",""ตาก!M450"")"),0)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IFERROR(__xludf.DUMMYFUNCTION("IMPORTRANGE(""https://docs.google.com/spreadsheets/d/11923uPwbBZFjjGgGUA6NLw09EwE0CqkOc4q9oUmW1yo/edit?usp=sharing"",""ตาก!M451"")"),0)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IFERROR(__xludf.DUMMYFUNCTION("IMPORTRANGE(""https://docs.google.com/spreadsheets/d/11923uPwbBZFjjGgGUA6NLw09EwE0CqkOc4q9oUmW1yo/edit?usp=sharing"",""ตาก!M452"")"),0)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IFERROR(__xludf.DUMMYFUNCTION("IMPORTRANGE(""https://docs.google.com/spreadsheets/d/11923uPwbBZFjjGgGUA6NLw09EwE0CqkOc4q9oUmW1yo/edit?usp=sharing"",""ตาก!M453"")"),0)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IFERROR(__xludf.DUMMYFUNCTION("IMPORTRANGE(""https://docs.google.com/spreadsheets/d/11923uPwbBZFjjGgGUA6NLw09EwE0CqkOc4q9oUmW1yo/edit?usp=sharing"",""ตาก!M454"")"),0)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IFERROR(__xludf.DUMMYFUNCTION("IMPORTRANGE(""https://docs.google.com/spreadsheets/d/11923uPwbBZFjjGgGUA6NLw09EwE0CqkOc4q9oUmW1yo/edit?usp=sharing"",""ตาก!I455"")"),0)</f>
        <v>0</v>
      </c>
      <c r="J560" s="170">
        <f ca="1">IFERROR(__xludf.DUMMYFUNCTION("IMPORTRANGE(""https://docs.google.com/spreadsheets/d/11923uPwbBZFjjGgGUA6NLw09EwE0CqkOc4q9oUmW1yo/edit?usp=sharing"",""ตาก!J455"")"),0)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IFERROR(__xludf.DUMMYFUNCTION("IMPORTRANGE(""https://docs.google.com/spreadsheets/d/11923uPwbBZFjjGgGUA6NLw09EwE0CqkOc4q9oUmW1yo/edit?usp=sharing"",""ตาก!I456"")"),0)</f>
        <v>0</v>
      </c>
      <c r="J561" s="213">
        <f ca="1">IFERROR(__xludf.DUMMYFUNCTION("IMPORTRANGE(""https://docs.google.com/spreadsheets/d/11923uPwbBZFjjGgGUA6NLw09EwE0CqkOc4q9oUmW1yo/edit?usp=sharing"",""ตาก!J456"")"),0)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IFERROR(__xludf.DUMMYFUNCTION("IMPORTRANGE(""https://docs.google.com/spreadsheets/d/11923uPwbBZFjjGgGUA6NLw09EwE0CqkOc4q9oUmW1yo/edit?usp=sharing"",""ตาก!J457"")"),"")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IFERROR(__xludf.DUMMYFUNCTION("IMPORTRANGE(""https://docs.google.com/spreadsheets/d/11923uPwbBZFjjGgGUA6NLw09EwE0CqkOc4q9oUmW1yo/edit?usp=sharing"",""ตาก!J458"")"),"")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IFERROR(__xludf.DUMMYFUNCTION("IMPORTRANGE(""https://docs.google.com/spreadsheets/d/11923uPwbBZFjjGgGUA6NLw09EwE0CqkOc4q9oUmW1yo/edit?usp=sharing"",""ตาก!I459"")"),1300)</f>
        <v>1300</v>
      </c>
      <c r="J564" s="379">
        <f ca="1">IFERROR(__xludf.DUMMYFUNCTION("IMPORTRANGE(""https://docs.google.com/spreadsheets/d/11923uPwbBZFjjGgGUA6NLw09EwE0CqkOc4q9oUmW1yo/edit?usp=sharing"",""ตาก!J459"")"),507)</f>
        <v>507</v>
      </c>
      <c r="K564" s="380">
        <f t="shared" ca="1" si="121"/>
        <v>39</v>
      </c>
      <c r="L564" s="381">
        <f ca="1">IFERROR(__xludf.DUMMYFUNCTION("IMPORTRANGE(""https://docs.google.com/spreadsheets/d/11923uPwbBZFjjGgGUA6NLw09EwE0CqkOc4q9oUmW1yo/edit?usp=sharing"",""ตาก!L459"")"),128080)</f>
        <v>128080</v>
      </c>
      <c r="M564" s="381"/>
      <c r="N564" s="381">
        <f ca="1">IFERROR(__xludf.DUMMYFUNCTION("IMPORTRANGE(""https://docs.google.com/spreadsheets/d/11923uPwbBZFjjGgGUA6NLw09EwE0CqkOc4q9oUmW1yo/edit?usp=sharing"",""ตาก!M459"")"),22780)</f>
        <v>22780</v>
      </c>
      <c r="O564" s="381">
        <f t="shared" ref="O564:O568" ca="1" si="122">+IF(L564&gt;0,N564*100/L564,0)</f>
        <v>17.785758900687071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IFERROR(__xludf.DUMMYFUNCTION("IMPORTRANGE(""https://docs.google.com/spreadsheets/d/11923uPwbBZFjjGgGUA6NLw09EwE0CqkOc4q9oUmW1yo/edit?usp=sharing"",""ตาก!L460"")"),0)</f>
        <v>0</v>
      </c>
      <c r="M565" s="172"/>
      <c r="N565" s="178">
        <f ca="1">IFERROR(__xludf.DUMMYFUNCTION("IMPORTRANGE(""https://docs.google.com/spreadsheets/d/11923uPwbBZFjjGgGUA6NLw09EwE0CqkOc4q9oUmW1yo/edit?usp=sharing"",""ตาก!M460"")"),0)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IFERROR(__xludf.DUMMYFUNCTION("IMPORTRANGE(""https://docs.google.com/spreadsheets/d/11923uPwbBZFjjGgGUA6NLw09EwE0CqkOc4q9oUmW1yo/edit?usp=sharing"",""ตาก!L461"")"),128080)</f>
        <v>128080</v>
      </c>
      <c r="M566" s="173"/>
      <c r="N566" s="178">
        <f ca="1">IFERROR(__xludf.DUMMYFUNCTION("IMPORTRANGE(""https://docs.google.com/spreadsheets/d/11923uPwbBZFjjGgGUA6NLw09EwE0CqkOc4q9oUmW1yo/edit?usp=sharing"",""ตาก!M461"")"),22780)</f>
        <v>22780</v>
      </c>
      <c r="O566" s="178">
        <f t="shared" ca="1" si="122"/>
        <v>17.785758900687071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IFERROR(__xludf.DUMMYFUNCTION("IMPORTRANGE(""https://docs.google.com/spreadsheets/d/11923uPwbBZFjjGgGUA6NLw09EwE0CqkOc4q9oUmW1yo/edit?usp=sharing"",""ตาก!L462"")"),0)</f>
        <v>0</v>
      </c>
      <c r="M567" s="178"/>
      <c r="N567" s="178">
        <f ca="1">IFERROR(__xludf.DUMMYFUNCTION("IMPORTRANGE(""https://docs.google.com/spreadsheets/d/11923uPwbBZFjjGgGUA6NLw09EwE0CqkOc4q9oUmW1yo/edit?usp=sharing"",""ตาก!M462"")"),0)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IFERROR(__xludf.DUMMYFUNCTION("IMPORTRANGE(""https://docs.google.com/spreadsheets/d/11923uPwbBZFjjGgGUA6NLw09EwE0CqkOc4q9oUmW1yo/edit?usp=sharing"",""ตาก!L463"")"),128080)</f>
        <v>128080</v>
      </c>
      <c r="M568" s="178"/>
      <c r="N568" s="178">
        <f ca="1">IFERROR(__xludf.DUMMYFUNCTION("IMPORTRANGE(""https://docs.google.com/spreadsheets/d/11923uPwbBZFjjGgGUA6NLw09EwE0CqkOc4q9oUmW1yo/edit?usp=sharing"",""ตาก!M463"")"),22780)</f>
        <v>22780</v>
      </c>
      <c r="O568" s="178">
        <f t="shared" ca="1" si="122"/>
        <v>17.785758900687071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IFERROR(__xludf.DUMMYFUNCTION("IMPORTRANGE(""https://docs.google.com/spreadsheets/d/11923uPwbBZFjjGgGUA6NLw09EwE0CqkOc4q9oUmW1yo/edit?usp=sharing"",""ตาก!M464"")"),0)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IFERROR(__xludf.DUMMYFUNCTION("IMPORTRANGE(""https://docs.google.com/spreadsheets/d/11923uPwbBZFjjGgGUA6NLw09EwE0CqkOc4q9oUmW1yo/edit?usp=sharing"",""ตาก!M465"")"),0)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IFERROR(__xludf.DUMMYFUNCTION("IMPORTRANGE(""https://docs.google.com/spreadsheets/d/11923uPwbBZFjjGgGUA6NLw09EwE0CqkOc4q9oUmW1yo/edit?usp=sharing"",""ตาก!M466"")"),0)</f>
        <v>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IFERROR(__xludf.DUMMYFUNCTION("IMPORTRANGE(""https://docs.google.com/spreadsheets/d/11923uPwbBZFjjGgGUA6NLw09EwE0CqkOc4q9oUmW1yo/edit?usp=sharing"",""ตาก!M467"")"),22780)</f>
        <v>22780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IFERROR(__xludf.DUMMYFUNCTION("IMPORTRANGE(""https://docs.google.com/spreadsheets/d/11923uPwbBZFjjGgGUA6NLw09EwE0CqkOc4q9oUmW1yo/edit?usp=sharing"",""ตาก!I468"")"),1300)</f>
        <v>1300</v>
      </c>
      <c r="J573" s="428">
        <f ca="1">IFERROR(__xludf.DUMMYFUNCTION("IMPORTRANGE(""https://docs.google.com/spreadsheets/d/11923uPwbBZFjjGgGUA6NLw09EwE0CqkOc4q9oUmW1yo/edit?usp=sharing"",""ตาก!J468"")"),507)</f>
        <v>507</v>
      </c>
      <c r="K573" s="211">
        <f ca="1">IF(I573&gt;0,J573*100/I573,0)</f>
        <v>39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IFERROR(__xludf.DUMMYFUNCTION("IMPORTRANGE(""https://docs.google.com/spreadsheets/d/11923uPwbBZFjjGgGUA6NLw09EwE0CqkOc4q9oUmW1yo/edit?usp=sharing"",""ตาก!I470"")"),0)</f>
        <v>0</v>
      </c>
      <c r="J575" s="207">
        <f ca="1">IFERROR(__xludf.DUMMYFUNCTION("IMPORTRANGE(""https://docs.google.com/spreadsheets/d/11923uPwbBZFjjGgGUA6NLw09EwE0CqkOc4q9oUmW1yo/edit?usp=sharing"",""ตาก!J470"")"),3)</f>
        <v>3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IFERROR(__xludf.DUMMYFUNCTION("IMPORTRANGE(""https://docs.google.com/spreadsheets/d/11923uPwbBZFjjGgGUA6NLw09EwE0CqkOc4q9oUmW1yo/edit?usp=sharing"",""ตาก!I471"")"),0)</f>
        <v>0</v>
      </c>
      <c r="J576" s="207">
        <f ca="1">IFERROR(__xludf.DUMMYFUNCTION("IMPORTRANGE(""https://docs.google.com/spreadsheets/d/11923uPwbBZFjjGgGUA6NLw09EwE0CqkOc4q9oUmW1yo/edit?usp=sharing"",""ตาก!J471"")"),234)</f>
        <v>234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IFERROR(__xludf.DUMMYFUNCTION("IMPORTRANGE(""https://docs.google.com/spreadsheets/d/11923uPwbBZFjjGgGUA6NLw09EwE0CqkOc4q9oUmW1yo/edit?usp=sharing"",""ตาก!I472"")"),0)</f>
        <v>0</v>
      </c>
      <c r="J577" s="198">
        <f ca="1">IFERROR(__xludf.DUMMYFUNCTION("IMPORTRANGE(""https://docs.google.com/spreadsheets/d/11923uPwbBZFjjGgGUA6NLw09EwE0CqkOc4q9oUmW1yo/edit?usp=sharing"",""ตาก!J472"")"),273)</f>
        <v>273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IFERROR(__xludf.DUMMYFUNCTION("IMPORTRANGE(""https://docs.google.com/spreadsheets/d/11923uPwbBZFjjGgGUA6NLw09EwE0CqkOc4q9oUmW1yo/edit?usp=sharing"",""ตาก!I473"")"),0)</f>
        <v>0</v>
      </c>
      <c r="J578" s="207">
        <f ca="1">IFERROR(__xludf.DUMMYFUNCTION("IMPORTRANGE(""https://docs.google.com/spreadsheets/d/11923uPwbBZFjjGgGUA6NLw09EwE0CqkOc4q9oUmW1yo/edit?usp=sharing"",""ตาก!J473"")"),0)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IFERROR(__xludf.DUMMYFUNCTION("IMPORTRANGE(""https://docs.google.com/spreadsheets/d/11923uPwbBZFjjGgGUA6NLw09EwE0CqkOc4q9oUmW1yo/edit?usp=sharing"",""ตาก!I474"")"),0)</f>
        <v>0</v>
      </c>
      <c r="J579" s="207">
        <f ca="1">IFERROR(__xludf.DUMMYFUNCTION("IMPORTRANGE(""https://docs.google.com/spreadsheets/d/11923uPwbBZFjjGgGUA6NLw09EwE0CqkOc4q9oUmW1yo/edit?usp=sharing"",""ตาก!J474"")"),0)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IFERROR(__xludf.DUMMYFUNCTION("IMPORTRANGE(""https://docs.google.com/spreadsheets/d/11923uPwbBZFjjGgGUA6NLw09EwE0CqkOc4q9oUmW1yo/edit?usp=sharing"",""ตาก!I475"")"),220)</f>
        <v>220</v>
      </c>
      <c r="J580" s="379">
        <f ca="1">IFERROR(__xludf.DUMMYFUNCTION("IMPORTRANGE(""https://docs.google.com/spreadsheets/d/11923uPwbBZFjjGgGUA6NLw09EwE0CqkOc4q9oUmW1yo/edit?usp=sharing"",""ตาก!J475"")"),0)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IFERROR(__xludf.DUMMYFUNCTION("IMPORTRANGE(""https://docs.google.com/spreadsheets/d/11923uPwbBZFjjGgGUA6NLw09EwE0CqkOc4q9oUmW1yo/edit?usp=sharing"",""ตาก!L475"")"),370020)</f>
        <v>370020</v>
      </c>
      <c r="M580" s="381"/>
      <c r="N580" s="381">
        <f ca="1">IFERROR(__xludf.DUMMYFUNCTION("IMPORTRANGE(""https://docs.google.com/spreadsheets/d/11923uPwbBZFjjGgGUA6NLw09EwE0CqkOc4q9oUmW1yo/edit?usp=sharing"",""ตาก!M475"")"),21266)</f>
        <v>21266</v>
      </c>
      <c r="O580" s="381">
        <f t="shared" ref="O580:O584" ca="1" si="124">+IF(L580&gt;0,N580*100/L580,0)</f>
        <v>5.7472569050321605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IFERROR(__xludf.DUMMYFUNCTION("IMPORTRANGE(""https://docs.google.com/spreadsheets/d/11923uPwbBZFjjGgGUA6NLw09EwE0CqkOc4q9oUmW1yo/edit?usp=sharing"",""ตาก!L476"")"),0)</f>
        <v>0</v>
      </c>
      <c r="M581" s="172"/>
      <c r="N581" s="178">
        <f ca="1">IFERROR(__xludf.DUMMYFUNCTION("IMPORTRANGE(""https://docs.google.com/spreadsheets/d/11923uPwbBZFjjGgGUA6NLw09EwE0CqkOc4q9oUmW1yo/edit?usp=sharing"",""ตาก!M476"")"),0)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IFERROR(__xludf.DUMMYFUNCTION("IMPORTRANGE(""https://docs.google.com/spreadsheets/d/11923uPwbBZFjjGgGUA6NLw09EwE0CqkOc4q9oUmW1yo/edit?usp=sharing"",""ตาก!L477"")"),370020)</f>
        <v>370020</v>
      </c>
      <c r="M582" s="173"/>
      <c r="N582" s="178">
        <f ca="1">IFERROR(__xludf.DUMMYFUNCTION("IMPORTRANGE(""https://docs.google.com/spreadsheets/d/11923uPwbBZFjjGgGUA6NLw09EwE0CqkOc4q9oUmW1yo/edit?usp=sharing"",""ตาก!M477"")"),21266)</f>
        <v>21266</v>
      </c>
      <c r="O582" s="178">
        <f t="shared" ca="1" si="124"/>
        <v>5.7472569050321605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IFERROR(__xludf.DUMMYFUNCTION("IMPORTRANGE(""https://docs.google.com/spreadsheets/d/11923uPwbBZFjjGgGUA6NLw09EwE0CqkOc4q9oUmW1yo/edit?usp=sharing"",""ตาก!L478"")"),0)</f>
        <v>0</v>
      </c>
      <c r="M583" s="178"/>
      <c r="N583" s="178">
        <f ca="1">IFERROR(__xludf.DUMMYFUNCTION("IMPORTRANGE(""https://docs.google.com/spreadsheets/d/11923uPwbBZFjjGgGUA6NLw09EwE0CqkOc4q9oUmW1yo/edit?usp=sharing"",""ตาก!M478"")"),0)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IFERROR(__xludf.DUMMYFUNCTION("IMPORTRANGE(""https://docs.google.com/spreadsheets/d/11923uPwbBZFjjGgGUA6NLw09EwE0CqkOc4q9oUmW1yo/edit?usp=sharing"",""ตาก!L479"")"),370020)</f>
        <v>370020</v>
      </c>
      <c r="M584" s="178"/>
      <c r="N584" s="178">
        <f ca="1">IFERROR(__xludf.DUMMYFUNCTION("IMPORTRANGE(""https://docs.google.com/spreadsheets/d/11923uPwbBZFjjGgGUA6NLw09EwE0CqkOc4q9oUmW1yo/edit?usp=sharing"",""ตาก!M479"")"),21266)</f>
        <v>21266</v>
      </c>
      <c r="O584" s="178">
        <f t="shared" ca="1" si="124"/>
        <v>5.7472569050321605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IFERROR(__xludf.DUMMYFUNCTION("IMPORTRANGE(""https://docs.google.com/spreadsheets/d/11923uPwbBZFjjGgGUA6NLw09EwE0CqkOc4q9oUmW1yo/edit?usp=sharing"",""ตาก!M480"")"),0)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IFERROR(__xludf.DUMMYFUNCTION("IMPORTRANGE(""https://docs.google.com/spreadsheets/d/11923uPwbBZFjjGgGUA6NLw09EwE0CqkOc4q9oUmW1yo/edit?usp=sharing"",""ตาก!M481"")"),0)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IFERROR(__xludf.DUMMYFUNCTION("IMPORTRANGE(""https://docs.google.com/spreadsheets/d/11923uPwbBZFjjGgGUA6NLw09EwE0CqkOc4q9oUmW1yo/edit?usp=sharing"",""ตาก!M482"")"),21266)</f>
        <v>21266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IFERROR(__xludf.DUMMYFUNCTION("IMPORTRANGE(""https://docs.google.com/spreadsheets/d/11923uPwbBZFjjGgGUA6NLw09EwE0CqkOc4q9oUmW1yo/edit?usp=sharing"",""ตาก!M483"")"),0)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IFERROR(__xludf.DUMMYFUNCTION("IMPORTRANGE(""https://docs.google.com/spreadsheets/d/11923uPwbBZFjjGgGUA6NLw09EwE0CqkOc4q9oUmW1yo/edit?usp=sharing"",""ตาก!I484"")"),220)</f>
        <v>220</v>
      </c>
      <c r="J589" s="197">
        <f ca="1">IFERROR(__xludf.DUMMYFUNCTION("IMPORTRANGE(""https://docs.google.com/spreadsheets/d/11923uPwbBZFjjGgGUA6NLw09EwE0CqkOc4q9oUmW1yo/edit?usp=sharing"",""ตาก!J484"")"),0)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IFERROR(__xludf.DUMMYFUNCTION("IMPORTRANGE(""https://docs.google.com/spreadsheets/d/11923uPwbBZFjjGgGUA6NLw09EwE0CqkOc4q9oUmW1yo/edit?usp=sharing"",""ตาก!I485"")"),0)</f>
        <v>0</v>
      </c>
      <c r="J590" s="197">
        <f ca="1">IFERROR(__xludf.DUMMYFUNCTION("IMPORTRANGE(""https://docs.google.com/spreadsheets/d/11923uPwbBZFjjGgGUA6NLw09EwE0CqkOc4q9oUmW1yo/edit?usp=sharing"",""ตาก!J485"")"),0)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IFERROR(__xludf.DUMMYFUNCTION("IMPORTRANGE(""https://docs.google.com/spreadsheets/d/11923uPwbBZFjjGgGUA6NLw09EwE0CqkOc4q9oUmW1yo/edit?usp=sharing"",""ตาก!I486"")"),220)</f>
        <v>220</v>
      </c>
      <c r="J591" s="197">
        <f ca="1">IFERROR(__xludf.DUMMYFUNCTION("IMPORTRANGE(""https://docs.google.com/spreadsheets/d/11923uPwbBZFjjGgGUA6NLw09EwE0CqkOc4q9oUmW1yo/edit?usp=sharing"",""ตาก!J486"")"),0)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IFERROR(__xludf.DUMMYFUNCTION("IMPORTRANGE(""https://docs.google.com/spreadsheets/d/11923uPwbBZFjjGgGUA6NLw09EwE0CqkOc4q9oUmW1yo/edit?usp=sharing"",""ตาก!I487"")"),0)</f>
        <v>0</v>
      </c>
      <c r="J592" s="197">
        <f ca="1">IFERROR(__xludf.DUMMYFUNCTION("IMPORTRANGE(""https://docs.google.com/spreadsheets/d/11923uPwbBZFjjGgGUA6NLw09EwE0CqkOc4q9oUmW1yo/edit?usp=sharing"",""ตาก!J487"")"),0)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IFERROR(__xludf.DUMMYFUNCTION("IMPORTRANGE(""https://docs.google.com/spreadsheets/d/11923uPwbBZFjjGgGUA6NLw09EwE0CqkOc4q9oUmW1yo/edit?usp=sharing"",""ตาก!I488"")"),220)</f>
        <v>220</v>
      </c>
      <c r="J593" s="197">
        <f ca="1">IFERROR(__xludf.DUMMYFUNCTION("IMPORTRANGE(""https://docs.google.com/spreadsheets/d/11923uPwbBZFjjGgGUA6NLw09EwE0CqkOc4q9oUmW1yo/edit?usp=sharing"",""ตาก!J488"")"),0)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IFERROR(__xludf.DUMMYFUNCTION("IMPORTRANGE(""https://docs.google.com/spreadsheets/d/11923uPwbBZFjjGgGUA6NLw09EwE0CqkOc4q9oUmW1yo/edit?usp=sharing"",""ตาก!I489"")"),0)</f>
        <v>0</v>
      </c>
      <c r="J594" s="197">
        <f ca="1">IFERROR(__xludf.DUMMYFUNCTION("IMPORTRANGE(""https://docs.google.com/spreadsheets/d/11923uPwbBZFjjGgGUA6NLw09EwE0CqkOc4q9oUmW1yo/edit?usp=sharing"",""ตาก!J489"")"),0)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IFERROR(__xludf.DUMMYFUNCTION("IMPORTRANGE(""https://docs.google.com/spreadsheets/d/11923uPwbBZFjjGgGUA6NLw09EwE0CqkOc4q9oUmW1yo/edit?usp=sharing"",""ตาก!I490"")"),220)</f>
        <v>220</v>
      </c>
      <c r="J595" s="197">
        <f ca="1">IFERROR(__xludf.DUMMYFUNCTION("IMPORTRANGE(""https://docs.google.com/spreadsheets/d/11923uPwbBZFjjGgGUA6NLw09EwE0CqkOc4q9oUmW1yo/edit?usp=sharing"",""ตาก!J490"")"),0)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IFERROR(__xludf.DUMMYFUNCTION("IMPORTRANGE(""https://docs.google.com/spreadsheets/d/11923uPwbBZFjjGgGUA6NLw09EwE0CqkOc4q9oUmW1yo/edit?usp=sharing"",""ตาก!I491"")"),0)</f>
        <v>0</v>
      </c>
      <c r="J596" s="250">
        <f ca="1">IFERROR(__xludf.DUMMYFUNCTION("IMPORTRANGE(""https://docs.google.com/spreadsheets/d/11923uPwbBZFjjGgGUA6NLw09EwE0CqkOc4q9oUmW1yo/edit?usp=sharing"",""ตาก!J491"")"),0)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IFERROR(__xludf.DUMMYFUNCTION("IMPORTRANGE(""https://docs.google.com/spreadsheets/d/11923uPwbBZFjjGgGUA6NLw09EwE0CqkOc4q9oUmW1yo/edit?usp=sharing"",""ตาก!I492"")"),100)</f>
        <v>100</v>
      </c>
      <c r="J597" s="495">
        <f ca="1">IFERROR(__xludf.DUMMYFUNCTION("IMPORTRANGE(""https://docs.google.com/spreadsheets/d/11923uPwbBZFjjGgGUA6NLw09EwE0CqkOc4q9oUmW1yo/edit?usp=sharing"",""ตาก!J492"")"),0)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IFERROR(__xludf.DUMMYFUNCTION("IMPORTRANGE(""https://docs.google.com/spreadsheets/d/11923uPwbBZFjjGgGUA6NLw09EwE0CqkOc4q9oUmW1yo/edit?usp=sharing"",""ตาก!L492"")"),8100)</f>
        <v>8100</v>
      </c>
      <c r="M597" s="420"/>
      <c r="N597" s="420">
        <f ca="1">IFERROR(__xludf.DUMMYFUNCTION("IMPORTRANGE(""https://docs.google.com/spreadsheets/d/11923uPwbBZFjjGgGUA6NLw09EwE0CqkOc4q9oUmW1yo/edit?usp=sharing"",""ตาก!M492"")"),800)</f>
        <v>800</v>
      </c>
      <c r="O597" s="420">
        <f t="shared" ref="O597:O601" ca="1" si="126">+IF(L597&gt;0,N597*100/L597,0)</f>
        <v>9.8765432098765427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IFERROR(__xludf.DUMMYFUNCTION("IMPORTRANGE(""https://docs.google.com/spreadsheets/d/11923uPwbBZFjjGgGUA6NLw09EwE0CqkOc4q9oUmW1yo/edit?usp=sharing"",""ตาก!L493"")"),0)</f>
        <v>0</v>
      </c>
      <c r="M598" s="172"/>
      <c r="N598" s="178">
        <f ca="1">IFERROR(__xludf.DUMMYFUNCTION("IMPORTRANGE(""https://docs.google.com/spreadsheets/d/11923uPwbBZFjjGgGUA6NLw09EwE0CqkOc4q9oUmW1yo/edit?usp=sharing"",""ตาก!M493"")"),0)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IFERROR(__xludf.DUMMYFUNCTION("IMPORTRANGE(""https://docs.google.com/spreadsheets/d/11923uPwbBZFjjGgGUA6NLw09EwE0CqkOc4q9oUmW1yo/edit?usp=sharing"",""ตาก!L494"")"),8100)</f>
        <v>8100</v>
      </c>
      <c r="M599" s="173"/>
      <c r="N599" s="178">
        <f ca="1">IFERROR(__xludf.DUMMYFUNCTION("IMPORTRANGE(""https://docs.google.com/spreadsheets/d/11923uPwbBZFjjGgGUA6NLw09EwE0CqkOc4q9oUmW1yo/edit?usp=sharing"",""ตาก!M494"")"),800)</f>
        <v>800</v>
      </c>
      <c r="O599" s="178">
        <f t="shared" ca="1" si="126"/>
        <v>9.8765432098765427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IFERROR(__xludf.DUMMYFUNCTION("IMPORTRANGE(""https://docs.google.com/spreadsheets/d/11923uPwbBZFjjGgGUA6NLw09EwE0CqkOc4q9oUmW1yo/edit?usp=sharing"",""ตาก!L495"")"),0)</f>
        <v>0</v>
      </c>
      <c r="M600" s="178"/>
      <c r="N600" s="178">
        <f ca="1">IFERROR(__xludf.DUMMYFUNCTION("IMPORTRANGE(""https://docs.google.com/spreadsheets/d/11923uPwbBZFjjGgGUA6NLw09EwE0CqkOc4q9oUmW1yo/edit?usp=sharing"",""ตาก!M495"")"),0)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IFERROR(__xludf.DUMMYFUNCTION("IMPORTRANGE(""https://docs.google.com/spreadsheets/d/11923uPwbBZFjjGgGUA6NLw09EwE0CqkOc4q9oUmW1yo/edit?usp=sharing"",""ตาก!L496"")"),8100)</f>
        <v>8100</v>
      </c>
      <c r="M601" s="178"/>
      <c r="N601" s="178">
        <f ca="1">IFERROR(__xludf.DUMMYFUNCTION("IMPORTRANGE(""https://docs.google.com/spreadsheets/d/11923uPwbBZFjjGgGUA6NLw09EwE0CqkOc4q9oUmW1yo/edit?usp=sharing"",""ตาก!M496"")"),800)</f>
        <v>800</v>
      </c>
      <c r="O601" s="178">
        <f t="shared" ca="1" si="126"/>
        <v>9.8765432098765427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IFERROR(__xludf.DUMMYFUNCTION("IMPORTRANGE(""https://docs.google.com/spreadsheets/d/11923uPwbBZFjjGgGUA6NLw09EwE0CqkOc4q9oUmW1yo/edit?usp=sharing"",""ตาก!M497"")"),0)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IFERROR(__xludf.DUMMYFUNCTION("IMPORTRANGE(""https://docs.google.com/spreadsheets/d/11923uPwbBZFjjGgGUA6NLw09EwE0CqkOc4q9oUmW1yo/edit?usp=sharing"",""ตาก!M498"")"),0)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IFERROR(__xludf.DUMMYFUNCTION("IMPORTRANGE(""https://docs.google.com/spreadsheets/d/11923uPwbBZFjjGgGUA6NLw09EwE0CqkOc4q9oUmW1yo/edit?usp=sharing"",""ตาก!M499"")"),0)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IFERROR(__xludf.DUMMYFUNCTION("IMPORTRANGE(""https://docs.google.com/spreadsheets/d/11923uPwbBZFjjGgGUA6NLw09EwE0CqkOc4q9oUmW1yo/edit?usp=sharing"",""ตาก!M500"")"),800)</f>
        <v>800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IFERROR(__xludf.DUMMYFUNCTION("IMPORTRANGE(""https://docs.google.com/spreadsheets/d/11923uPwbBZFjjGgGUA6NLw09EwE0CqkOc4q9oUmW1yo/edit?usp=sharing"",""ตาก!J502"")"),0)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IFERROR(__xludf.DUMMYFUNCTION("IMPORTRANGE(""https://docs.google.com/spreadsheets/d/11923uPwbBZFjjGgGUA6NLw09EwE0CqkOc4q9oUmW1yo/edit?usp=sharing"",""ตาก!J503"")"),1)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IFERROR(__xludf.DUMMYFUNCTION("IMPORTRANGE(""https://docs.google.com/spreadsheets/d/11923uPwbBZFjjGgGUA6NLw09EwE0CqkOc4q9oUmW1yo/edit?usp=sharing"",""ตาก!J166"")"),0)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IFERROR(__xludf.DUMMYFUNCTION("IMPORTRANGE(""https://docs.google.com/spreadsheets/d/11923uPwbBZFjjGgGUA6NLw09EwE0CqkOc4q9oUmW1yo/edit?usp=sharing"",""ตาก!J166"")"),0)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IFERROR(__xludf.DUMMYFUNCTION("IMPORTRANGE(""https://docs.google.com/spreadsheets/d/11923uPwbBZFjjGgGUA6NLw09EwE0CqkOc4q9oUmW1yo/edit?usp=sharing"",""ตาก!I506"")"),100)</f>
        <v>100</v>
      </c>
      <c r="J611" s="170">
        <f ca="1">IFERROR(__xludf.DUMMYFUNCTION("IMPORTRANGE(""https://docs.google.com/spreadsheets/d/11923uPwbBZFjjGgGUA6NLw09EwE0CqkOc4q9oUmW1yo/edit?usp=sharing"",""ตาก!J506"")"),0)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IFERROR(__xludf.DUMMYFUNCTION("IMPORTRANGE(""https://docs.google.com/spreadsheets/d/11923uPwbBZFjjGgGUA6NLw09EwE0CqkOc4q9oUmW1yo/edit?usp=sharing"",""ตาก!I507"")"),0)</f>
        <v>0</v>
      </c>
      <c r="J612" s="207">
        <f ca="1">IFERROR(__xludf.DUMMYFUNCTION("IMPORTRANGE(""https://docs.google.com/spreadsheets/d/11923uPwbBZFjjGgGUA6NLw09EwE0CqkOc4q9oUmW1yo/edit?usp=sharing"",""ตาก!J507"")"),0)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IFERROR(__xludf.DUMMYFUNCTION("IMPORTRANGE(""https://docs.google.com/spreadsheets/d/11923uPwbBZFjjGgGUA6NLw09EwE0CqkOc4q9oUmW1yo/edit?usp=sharing"",""ตาก!I508"")"),0)</f>
        <v>0</v>
      </c>
      <c r="J613" s="207">
        <f ca="1">IFERROR(__xludf.DUMMYFUNCTION("IMPORTRANGE(""https://docs.google.com/spreadsheets/d/11923uPwbBZFjjGgGUA6NLw09EwE0CqkOc4q9oUmW1yo/edit?usp=sharing"",""ตาก!J508"")"),0)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IFERROR(__xludf.DUMMYFUNCTION("IMPORTRANGE(""https://docs.google.com/spreadsheets/d/11923uPwbBZFjjGgGUA6NLw09EwE0CqkOc4q9oUmW1yo/edit?usp=sharing"",""ตาก!I509"")"),0)</f>
        <v>0</v>
      </c>
      <c r="J614" s="207">
        <f ca="1">IFERROR(__xludf.DUMMYFUNCTION("IMPORTRANGE(""https://docs.google.com/spreadsheets/d/11923uPwbBZFjjGgGUA6NLw09EwE0CqkOc4q9oUmW1yo/edit?usp=sharing"",""ตาก!J509"")"),0)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IFERROR(__xludf.DUMMYFUNCTION("IMPORTRANGE(""https://docs.google.com/spreadsheets/d/11923uPwbBZFjjGgGUA6NLw09EwE0CqkOc4q9oUmW1yo/edit?usp=sharing"",""ตาก!I510"")"),0)</f>
        <v>0</v>
      </c>
      <c r="J615" s="207">
        <f ca="1">IFERROR(__xludf.DUMMYFUNCTION("IMPORTRANGE(""https://docs.google.com/spreadsheets/d/11923uPwbBZFjjGgGUA6NLw09EwE0CqkOc4q9oUmW1yo/edit?usp=sharing"",""ตาก!J510"")"),0)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IFERROR(__xludf.DUMMYFUNCTION("IMPORTRANGE(""https://docs.google.com/spreadsheets/d/11923uPwbBZFjjGgGUA6NLw09EwE0CqkOc4q9oUmW1yo/edit?usp=sharing"",""ตาก!I511"")"),0)</f>
        <v>0</v>
      </c>
      <c r="J616" s="207">
        <f ca="1">IFERROR(__xludf.DUMMYFUNCTION("IMPORTRANGE(""https://docs.google.com/spreadsheets/d/11923uPwbBZFjjGgGUA6NLw09EwE0CqkOc4q9oUmW1yo/edit?usp=sharing"",""ตาก!J511"")"),0)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IFERROR(__xludf.DUMMYFUNCTION("IMPORTRANGE(""https://docs.google.com/spreadsheets/d/11923uPwbBZFjjGgGUA6NLw09EwE0CqkOc4q9oUmW1yo/edit?usp=sharing"",""ตาก!I512"")"),0)</f>
        <v>0</v>
      </c>
      <c r="J617" s="197">
        <f ca="1">IFERROR(__xludf.DUMMYFUNCTION("IMPORTRANGE(""https://docs.google.com/spreadsheets/d/11923uPwbBZFjjGgGUA6NLw09EwE0CqkOc4q9oUmW1yo/edit?usp=sharing"",""ตาก!J512"")"),0)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IFERROR(__xludf.DUMMYFUNCTION("IMPORTRANGE(""https://docs.google.com/spreadsheets/d/11923uPwbBZFjjGgGUA6NLw09EwE0CqkOc4q9oUmW1yo/edit?usp=sharing"",""ตาก!I513"")"),0)</f>
        <v>0</v>
      </c>
      <c r="J618" s="198">
        <f ca="1">IFERROR(__xludf.DUMMYFUNCTION("IMPORTRANGE(""https://docs.google.com/spreadsheets/d/11923uPwbBZFjjGgGUA6NLw09EwE0CqkOc4q9oUmW1yo/edit?usp=sharing"",""ตาก!J513"")"),0)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IFERROR(__xludf.DUMMYFUNCTION("IMPORTRANGE(""https://docs.google.com/spreadsheets/d/11923uPwbBZFjjGgGUA6NLw09EwE0CqkOc4q9oUmW1yo/edit?usp=sharing"",""ตาก!I514"")"),0)</f>
        <v>0</v>
      </c>
      <c r="J619" s="198">
        <f ca="1">IFERROR(__xludf.DUMMYFUNCTION("IMPORTRANGE(""https://docs.google.com/spreadsheets/d/11923uPwbBZFjjGgGUA6NLw09EwE0CqkOc4q9oUmW1yo/edit?usp=sharing"",""ตาก!J514"")"),0)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IFERROR(__xludf.DUMMYFUNCTION("IMPORTRANGE(""https://docs.google.com/spreadsheets/d/11923uPwbBZFjjGgGUA6NLw09EwE0CqkOc4q9oUmW1yo/edit?usp=sharing"",""ตาก!I515"")"),0)</f>
        <v>0</v>
      </c>
      <c r="J620" s="212">
        <f ca="1">IFERROR(__xludf.DUMMYFUNCTION("IMPORTRANGE(""https://docs.google.com/spreadsheets/d/11923uPwbBZFjjGgGUA6NLw09EwE0CqkOc4q9oUmW1yo/edit?usp=sharing"",""ตาก!J515"")"),0)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IFERROR(__xludf.DUMMYFUNCTION("IMPORTRANGE(""https://docs.google.com/spreadsheets/d/11923uPwbBZFjjGgGUA6NLw09EwE0CqkOc4q9oUmW1yo/edit?usp=sharing"",""ตาก!I516"")"),0)</f>
        <v>0</v>
      </c>
      <c r="J621" s="212">
        <f ca="1">IFERROR(__xludf.DUMMYFUNCTION("IMPORTRANGE(""https://docs.google.com/spreadsheets/d/11923uPwbBZFjjGgGUA6NLw09EwE0CqkOc4q9oUmW1yo/edit?usp=sharing"",""ตาก!J516"")"),0)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IFERROR(__xludf.DUMMYFUNCTION("IMPORTRANGE(""https://docs.google.com/spreadsheets/d/11923uPwbBZFjjGgGUA6NLw09EwE0CqkOc4q9oUmW1yo/edit?usp=sharing"",""ตาก!I517"")"),0)</f>
        <v>0</v>
      </c>
      <c r="J622" s="198">
        <f ca="1">IFERROR(__xludf.DUMMYFUNCTION("IMPORTRANGE(""https://docs.google.com/spreadsheets/d/11923uPwbBZFjjGgGUA6NLw09EwE0CqkOc4q9oUmW1yo/edit?usp=sharing"",""ตาก!J517"")"),0)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IFERROR(__xludf.DUMMYFUNCTION("IMPORTRANGE(""https://docs.google.com/spreadsheets/d/11923uPwbBZFjjGgGUA6NLw09EwE0CqkOc4q9oUmW1yo/edit?usp=sharing"",""ตาก!I518"")"),0)</f>
        <v>0</v>
      </c>
      <c r="J623" s="198">
        <f ca="1">IFERROR(__xludf.DUMMYFUNCTION("IMPORTRANGE(""https://docs.google.com/spreadsheets/d/11923uPwbBZFjjGgGUA6NLw09EwE0CqkOc4q9oUmW1yo/edit?usp=sharing"",""ตาก!J518"")"),0)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IFERROR(__xludf.DUMMYFUNCTION("IMPORTRANGE(""https://docs.google.com/spreadsheets/d/11923uPwbBZFjjGgGUA6NLw09EwE0CqkOc4q9oUmW1yo/edit?usp=sharing"",""ตาก!I519"")"),0)</f>
        <v>0</v>
      </c>
      <c r="J624" s="197">
        <f ca="1">IFERROR(__xludf.DUMMYFUNCTION("IMPORTRANGE(""https://docs.google.com/spreadsheets/d/11923uPwbBZFjjGgGUA6NLw09EwE0CqkOc4q9oUmW1yo/edit?usp=sharing"",""ตาก!J519"")"),0)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IFERROR(__xludf.DUMMYFUNCTION("IMPORTRANGE(""https://docs.google.com/spreadsheets/d/11923uPwbBZFjjGgGUA6NLw09EwE0CqkOc4q9oUmW1yo/edit?usp=sharing"",""ตาก!I520"")"),0)</f>
        <v>0</v>
      </c>
      <c r="J625" s="198">
        <f ca="1">IFERROR(__xludf.DUMMYFUNCTION("IMPORTRANGE(""https://docs.google.com/spreadsheets/d/11923uPwbBZFjjGgGUA6NLw09EwE0CqkOc4q9oUmW1yo/edit?usp=sharing"",""ตาก!J520"")"),0)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IFERROR(__xludf.DUMMYFUNCTION("IMPORTRANGE(""https://docs.google.com/spreadsheets/d/11923uPwbBZFjjGgGUA6NLw09EwE0CqkOc4q9oUmW1yo/edit?usp=sharing"",""ตาก!I521"")"),0)</f>
        <v>0</v>
      </c>
      <c r="J626" s="198">
        <f ca="1">IFERROR(__xludf.DUMMYFUNCTION("IMPORTRANGE(""https://docs.google.com/spreadsheets/d/11923uPwbBZFjjGgGUA6NLw09EwE0CqkOc4q9oUmW1yo/edit?usp=sharing"",""ตาก!J521"")"),0)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IFERROR(__xludf.DUMMYFUNCTION("IMPORTRANGE(""https://docs.google.com/spreadsheets/d/11923uPwbBZFjjGgGUA6NLw09EwE0CqkOc4q9oUmW1yo/edit?usp=sharing"",""ตาก!I523"")"),2024605.17)</f>
        <v>2024605.17</v>
      </c>
      <c r="J628" s="349">
        <f ca="1">IFERROR(__xludf.DUMMYFUNCTION("IMPORTRANGE(""https://docs.google.com/spreadsheets/d/11923uPwbBZFjjGgGUA6NLw09EwE0CqkOc4q9oUmW1yo/edit?usp=sharing"",""ตาก!J523"")"),0)</f>
        <v>0</v>
      </c>
      <c r="K628" s="350">
        <f t="shared" ref="K628:K635" ca="1" si="129">IF(I628&gt;0,J628*100/I628,0)</f>
        <v>0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IFERROR(__xludf.DUMMYFUNCTION("IMPORTRANGE(""https://docs.google.com/spreadsheets/d/11923uPwbBZFjjGgGUA6NLw09EwE0CqkOc4q9oUmW1yo/edit?usp=sharing"",""ตาก!I524"")"),177)</f>
        <v>177</v>
      </c>
      <c r="J629" s="349">
        <f ca="1">IFERROR(__xludf.DUMMYFUNCTION("IMPORTRANGE(""https://docs.google.com/spreadsheets/d/11923uPwbBZFjjGgGUA6NLw09EwE0CqkOc4q9oUmW1yo/edit?usp=sharing"",""ตาก!J524"")"),0)</f>
        <v>0</v>
      </c>
      <c r="K629" s="350">
        <f t="shared" ca="1" si="129"/>
        <v>0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IFERROR(__xludf.DUMMYFUNCTION("IMPORTRANGE(""https://docs.google.com/spreadsheets/d/11923uPwbBZFjjGgGUA6NLw09EwE0CqkOc4q9oUmW1yo/edit?usp=sharing"",""ตาก!I525"")"),7699315.18)</f>
        <v>7699315.1799999997</v>
      </c>
      <c r="J630" s="349">
        <f ca="1">IFERROR(__xludf.DUMMYFUNCTION("IMPORTRANGE(""https://docs.google.com/spreadsheets/d/11923uPwbBZFjjGgGUA6NLw09EwE0CqkOc4q9oUmW1yo/edit?usp=sharing"",""ตาก!J525"")"),254255.49)</f>
        <v>254255.49</v>
      </c>
      <c r="K630" s="350">
        <f t="shared" ca="1" si="129"/>
        <v>3.302313050652383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IFERROR(__xludf.DUMMYFUNCTION("IMPORTRANGE(""https://docs.google.com/spreadsheets/d/11923uPwbBZFjjGgGUA6NLw09EwE0CqkOc4q9oUmW1yo/edit?usp=sharing"",""ตาก!I526"")"),292)</f>
        <v>292</v>
      </c>
      <c r="J631" s="349">
        <f ca="1">IFERROR(__xludf.DUMMYFUNCTION("IMPORTRANGE(""https://docs.google.com/spreadsheets/d/11923uPwbBZFjjGgGUA6NLw09EwE0CqkOc4q9oUmW1yo/edit?usp=sharing"",""ตาก!J526"")"),101)</f>
        <v>101</v>
      </c>
      <c r="K631" s="350">
        <f t="shared" ca="1" si="129"/>
        <v>34.589041095890408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IFERROR(__xludf.DUMMYFUNCTION("IMPORTRANGE(""https://docs.google.com/spreadsheets/d/11923uPwbBZFjjGgGUA6NLw09EwE0CqkOc4q9oUmW1yo/edit?usp=sharing"",""ตาก!I527"")"),0)</f>
        <v>0</v>
      </c>
      <c r="J632" s="349">
        <f ca="1">IFERROR(__xludf.DUMMYFUNCTION("IMPORTRANGE(""https://docs.google.com/spreadsheets/d/11923uPwbBZFjjGgGUA6NLw09EwE0CqkOc4q9oUmW1yo/edit?usp=sharing"",""ตาก!J527"")"),0)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IFERROR(__xludf.DUMMYFUNCTION("IMPORTRANGE(""https://docs.google.com/spreadsheets/d/11923uPwbBZFjjGgGUA6NLw09EwE0CqkOc4q9oUmW1yo/edit?usp=sharing"",""ตาก!I528"")"),0)</f>
        <v>0</v>
      </c>
      <c r="J633" s="349">
        <f ca="1">IFERROR(__xludf.DUMMYFUNCTION("IMPORTRANGE(""https://docs.google.com/spreadsheets/d/11923uPwbBZFjjGgGUA6NLw09EwE0CqkOc4q9oUmW1yo/edit?usp=sharing"",""ตาก!J528"")"),0)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IFERROR(__xludf.DUMMYFUNCTION("IMPORTRANGE(""https://docs.google.com/spreadsheets/d/11923uPwbBZFjjGgGUA6NLw09EwE0CqkOc4q9oUmW1yo/edit?usp=sharing"",""ตาก!I529"")"),3000000)</f>
        <v>3000000</v>
      </c>
      <c r="J634" s="349">
        <f ca="1">IFERROR(__xludf.DUMMYFUNCTION("IMPORTRANGE(""https://docs.google.com/spreadsheets/d/11923uPwbBZFjjGgGUA6NLw09EwE0CqkOc4q9oUmW1yo/edit?usp=sharing"",""ตาก!J529"")"),0)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IFERROR(__xludf.DUMMYFUNCTION("IMPORTRANGE(""https://docs.google.com/spreadsheets/d/11923uPwbBZFjjGgGUA6NLw09EwE0CqkOc4q9oUmW1yo/edit?usp=sharing"",""ตาก!I530"")"),100)</f>
        <v>100</v>
      </c>
      <c r="J635" s="519">
        <f ca="1">IFERROR(__xludf.DUMMYFUNCTION("IMPORTRANGE(""https://docs.google.com/spreadsheets/d/11923uPwbBZFjjGgGUA6NLw09EwE0CqkOc4q9oUmW1yo/edit?usp=sharing"",""ตาก!J530"")"),0)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160" activePane="bottomLeft" state="frozen"/>
      <selection activeCell="J9" sqref="J9"/>
      <selection pane="bottomLeft" activeCell="M559" sqref="M559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10.33203125" bestFit="1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246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6244228</v>
      </c>
      <c r="M8" s="25">
        <f t="shared" ca="1" si="0"/>
        <v>2167365</v>
      </c>
      <c r="N8" s="25">
        <f t="shared" ca="1" si="0"/>
        <v>2030722</v>
      </c>
      <c r="O8" s="24">
        <f t="shared" ref="O8:O16" ca="1" si="1">IF(L8&gt;0,N8*100/L8,0)</f>
        <v>32.521586335412479</v>
      </c>
      <c r="P8" s="24">
        <f t="shared" ref="P8:P16" ca="1" si="2">IF(M8&gt;0,N8*100/M8,0)</f>
        <v>93.695432010759603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6244228</v>
      </c>
      <c r="M10" s="32">
        <f t="shared" ca="1" si="4"/>
        <v>2167365</v>
      </c>
      <c r="N10" s="32">
        <f t="shared" ca="1" si="4"/>
        <v>2030722</v>
      </c>
      <c r="O10" s="31">
        <f t="shared" ca="1" si="1"/>
        <v>32.521586335412479</v>
      </c>
      <c r="P10" s="31">
        <f t="shared" ca="1" si="2"/>
        <v>93.695432010759603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6004828</v>
      </c>
      <c r="M12" s="40">
        <f t="shared" ca="1" si="6"/>
        <v>2167365</v>
      </c>
      <c r="N12" s="40">
        <f t="shared" ca="1" si="6"/>
        <v>1833322</v>
      </c>
      <c r="O12" s="40">
        <f t="shared" ca="1" si="1"/>
        <v>30.530799549962129</v>
      </c>
      <c r="P12" s="40">
        <f t="shared" ca="1" si="2"/>
        <v>84.587598304854055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2242900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3761928</v>
      </c>
      <c r="M14" s="40">
        <f t="shared" si="8"/>
        <v>0</v>
      </c>
      <c r="N14" s="40">
        <f t="shared" ca="1" si="8"/>
        <v>428942</v>
      </c>
      <c r="O14" s="43">
        <f t="shared" ca="1" si="1"/>
        <v>11.40218526245053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239400</v>
      </c>
      <c r="M16" s="40">
        <f t="shared" si="10"/>
        <v>0</v>
      </c>
      <c r="N16" s="40">
        <f t="shared" ca="1" si="10"/>
        <v>197400</v>
      </c>
      <c r="O16" s="52">
        <f t="shared" ca="1" si="1"/>
        <v>82.456140350877192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4168815</v>
      </c>
      <c r="M18" s="25">
        <f t="shared" ca="1" si="11"/>
        <v>2167365</v>
      </c>
      <c r="N18" s="25">
        <f t="shared" ca="1" si="11"/>
        <v>1601780</v>
      </c>
      <c r="O18" s="24">
        <f t="shared" ref="O18:O20" ca="1" si="12">IF(L18&gt;0,N18*100/L18,0)</f>
        <v>38.422909148043267</v>
      </c>
      <c r="P18" s="24">
        <f t="shared" ref="P18:P26" ca="1" si="13">IF(M18&gt;0,N18*100/M18,0)</f>
        <v>73.904487707423527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4168815</v>
      </c>
      <c r="M20" s="32">
        <f t="shared" ca="1" si="15"/>
        <v>2167365</v>
      </c>
      <c r="N20" s="32">
        <f t="shared" ca="1" si="15"/>
        <v>1601780</v>
      </c>
      <c r="O20" s="31">
        <f t="shared" ca="1" si="12"/>
        <v>38.422909148043267</v>
      </c>
      <c r="P20" s="31">
        <f t="shared" ca="1" si="13"/>
        <v>73.904487707423527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3929415</v>
      </c>
      <c r="M22" s="44">
        <f t="shared" ca="1" si="18"/>
        <v>2167365</v>
      </c>
      <c r="N22" s="43">
        <f t="shared" ca="1" si="18"/>
        <v>1404380</v>
      </c>
      <c r="O22" s="43">
        <f t="shared" ca="1" si="17"/>
        <v>35.740180154043287</v>
      </c>
      <c r="P22" s="43">
        <f t="shared" ca="1" si="13"/>
        <v>64.796654001517979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2242900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1686515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239400</v>
      </c>
      <c r="M26" s="52">
        <f t="shared" si="22"/>
        <v>0</v>
      </c>
      <c r="N26" s="52">
        <f t="shared" ca="1" si="22"/>
        <v>197400</v>
      </c>
      <c r="O26" s="52">
        <f t="shared" ca="1" si="17"/>
        <v>82.456140350877192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2075413</v>
      </c>
      <c r="M28" s="25">
        <f t="shared" si="23"/>
        <v>0</v>
      </c>
      <c r="N28" s="25">
        <f t="shared" ca="1" si="23"/>
        <v>428942</v>
      </c>
      <c r="O28" s="24">
        <f t="shared" ref="O28:O30" ca="1" si="24">IF(L28&gt;0,N28*100/L28,0)</f>
        <v>20.667789977223812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2075413</v>
      </c>
      <c r="M30" s="32">
        <f t="shared" si="27"/>
        <v>0</v>
      </c>
      <c r="N30" s="32">
        <f t="shared" ca="1" si="27"/>
        <v>428942</v>
      </c>
      <c r="O30" s="31">
        <f t="shared" ca="1" si="24"/>
        <v>20.667789977223812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2075413</v>
      </c>
      <c r="M32" s="43">
        <f t="shared" si="30"/>
        <v>0</v>
      </c>
      <c r="N32" s="43">
        <f t="shared" ca="1" si="30"/>
        <v>428942</v>
      </c>
      <c r="O32" s="43">
        <f t="shared" ca="1" si="29"/>
        <v>20.667789977223812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2075413</v>
      </c>
      <c r="M34" s="43">
        <f t="shared" si="32"/>
        <v>0</v>
      </c>
      <c r="N34" s="43">
        <f t="shared" ca="1" si="32"/>
        <v>428942</v>
      </c>
      <c r="O34" s="43">
        <f t="shared" ca="1" si="29"/>
        <v>20.667789977223812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4168815</v>
      </c>
      <c r="M37" s="57">
        <f t="shared" ca="1" si="33"/>
        <v>2167365</v>
      </c>
      <c r="N37" s="57">
        <f t="shared" ca="1" si="33"/>
        <v>1601780</v>
      </c>
      <c r="O37" s="58">
        <f t="shared" ca="1" si="29"/>
        <v>38.422909148043267</v>
      </c>
      <c r="P37" s="58">
        <f t="shared" ca="1" si="25"/>
        <v>73.904487707423527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952200</v>
      </c>
      <c r="M41" s="81">
        <f t="shared" ca="1" si="34"/>
        <v>522120</v>
      </c>
      <c r="N41" s="81">
        <f t="shared" ca="1" si="34"/>
        <v>407872</v>
      </c>
      <c r="O41" s="80">
        <f t="shared" ref="O41:O43" ca="1" si="35">IF(L41&gt;0,N41*100/L41,0)</f>
        <v>42.834698592732622</v>
      </c>
      <c r="P41" s="80">
        <f t="shared" ref="P41:P43" ca="1" si="36">IF(M41&gt;0,N41*100/M41,0)</f>
        <v>78.118440205316787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952200</v>
      </c>
      <c r="M43" s="81">
        <f t="shared" ca="1" si="38"/>
        <v>522120</v>
      </c>
      <c r="N43" s="81">
        <f t="shared" ca="1" si="38"/>
        <v>407872</v>
      </c>
      <c r="O43" s="80">
        <f t="shared" ca="1" si="35"/>
        <v>42.834698592732622</v>
      </c>
      <c r="P43" s="80">
        <f t="shared" ca="1" si="36"/>
        <v>78.118440205316787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952200</v>
      </c>
      <c r="M45" s="93">
        <f ca="1">IFERROR(__xludf.DUMMYFUNCTION("IMPORTRANGE(""https://docs.google.com/spreadsheets/d/1Yj_ptqi66GCucihVvJfMjLAmec39IyEx_6qawtMGysU/edit?usp=sharing"",""สบก!Q24"")"),522120)</f>
        <v>522120</v>
      </c>
      <c r="N45" s="93">
        <f ca="1">IFERROR(__xludf.DUMMYFUNCTION("IMPORTRANGE(""https://docs.google.com/spreadsheets/d/1Yj_ptqi66GCucihVvJfMjLAmec39IyEx_6qawtMGysU/edit?usp=sharing"",""สบก!R24"")"),407872)</f>
        <v>407872</v>
      </c>
      <c r="O45" s="94">
        <f ca="1">IF(L45&gt;0,N45*100/L45,0)</f>
        <v>42.834698592732622</v>
      </c>
      <c r="P45" s="94">
        <f ca="1">IF(M45&gt;0,N45*100/M45,0)</f>
        <v>78.118440205316787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IFERROR(__xludf.DUMMYFUNCTION("IMPORTRANGE(""https://docs.google.com/spreadsheets/d/1Yj_ptqi66GCucihVvJfMjLAmec39IyEx_6qawtMGysU/edit?usp=sharing"",""สบก!M24"")"),952200)</f>
        <v>952200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IFERROR(__xludf.DUMMYFUNCTION("IMPORTRANGE(""https://docs.google.com/spreadsheets/d/1Yj_ptqi66GCucihVvJfMjLAmec39IyEx_6qawtMGysU/edit?usp=sharing"",""สบก!N24"")"),0)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IFERROR(__xludf.DUMMYFUNCTION("IMPORTRANGE(""https://docs.google.com/spreadsheets/d/1Yj_ptqi66GCucihVvJfMjLAmec39IyEx_6qawtMGysU/edit?usp=sharing"",""สบก!O24"")"),0)</f>
        <v>0</v>
      </c>
      <c r="M49" s="103"/>
      <c r="N49" s="93">
        <f ca="1">IFERROR(__xludf.DUMMYFUNCTION("IMPORTRANGE(""https://docs.google.com/spreadsheets/d/1Yj_ptqi66GCucihVvJfMjLAmec39IyEx_6qawtMGysU/edit?usp=sharing"",""สบก!S24"")"),0)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450000</v>
      </c>
      <c r="M53" s="127">
        <f t="shared" ca="1" si="39"/>
        <v>243000</v>
      </c>
      <c r="N53" s="127">
        <f t="shared" ca="1" si="39"/>
        <v>213490</v>
      </c>
      <c r="O53" s="126">
        <f t="shared" ref="O53:O55" ca="1" si="40">IF(L53&gt;0,N53*100/L53,0)</f>
        <v>47.44222222222222</v>
      </c>
      <c r="P53" s="126">
        <f t="shared" ref="P53:P55" ca="1" si="41">IF(M53&gt;0,N53*100/M53,0)</f>
        <v>87.855967078189295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450000</v>
      </c>
      <c r="M55" s="127">
        <f t="shared" ca="1" si="43"/>
        <v>243000</v>
      </c>
      <c r="N55" s="127">
        <f t="shared" ca="1" si="43"/>
        <v>213490</v>
      </c>
      <c r="O55" s="126">
        <f t="shared" ca="1" si="40"/>
        <v>47.44222222222222</v>
      </c>
      <c r="P55" s="126">
        <f t="shared" ca="1" si="41"/>
        <v>87.855967078189295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450000</v>
      </c>
      <c r="M57" s="93">
        <f ca="1">IFERROR(__xludf.DUMMYFUNCTION("IMPORTRANGE(""https://docs.google.com/spreadsheets/d/1Yj_ptqi66GCucihVvJfMjLAmec39IyEx_6qawtMGysU/edit?usp=sharing"",""สบก!Z24"")"),243000)</f>
        <v>243000</v>
      </c>
      <c r="N57" s="93">
        <f ca="1">IFERROR(__xludf.DUMMYFUNCTION("IMPORTRANGE(""https://docs.google.com/spreadsheets/d/1Yj_ptqi66GCucihVvJfMjLAmec39IyEx_6qawtMGysU/edit?usp=sharing"",""สบก!AA24"")"),213490)</f>
        <v>213490</v>
      </c>
      <c r="O57" s="94">
        <f ca="1">IF(L57&gt;0,N57*100/L57,0)</f>
        <v>47.44222222222222</v>
      </c>
      <c r="P57" s="94">
        <f ca="1">IF(M57&gt;0,N57*100/M57,0)</f>
        <v>87.855967078189295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IFERROR(__xludf.DUMMYFUNCTION("IMPORTRANGE(""https://docs.google.com/spreadsheets/d/1Yj_ptqi66GCucihVvJfMjLAmec39IyEx_6qawtMGysU/edit?usp=sharing"",""สบก!V24"")"),450000)</f>
        <v>450000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IFERROR(__xludf.DUMMYFUNCTION("IMPORTRANGE(""https://docs.google.com/spreadsheets/d/1Yj_ptqi66GCucihVvJfMjLAmec39IyEx_6qawtMGysU/edit?usp=sharing"",""สบก!W24"")"),0)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IFERROR(__xludf.DUMMYFUNCTION("IMPORTRANGE(""https://docs.google.com/spreadsheets/d/1Yj_ptqi66GCucihVvJfMjLAmec39IyEx_6qawtMGysU/edit?usp=sharing"",""สบก!X24"")"),0)</f>
        <v>0</v>
      </c>
      <c r="M61" s="103"/>
      <c r="N61" s="93">
        <f ca="1">IFERROR(__xludf.DUMMYFUNCTION("IMPORTRANGE(""https://docs.google.com/spreadsheets/d/1Yj_ptqi66GCucihVvJfMjLAmec39IyEx_6qawtMGysU/edit?usp=sharing"",""สบก!AB24"")"),0)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IFERROR(__xludf.DUMMYFUNCTION("IMPORTRANGE(""https://docs.google.com/spreadsheets/d/11923uPwbBZFjjGgGUA6NLw09EwE0CqkOc4q9oUmW1yo/edit?usp=sharing"",""นครสวรรค์!I9"")"),1)</f>
        <v>1</v>
      </c>
      <c r="J64" s="148">
        <f ca="1">IFERROR(__xludf.DUMMYFUNCTION("IMPORTRANGE(""https://docs.google.com/spreadsheets/d/11923uPwbBZFjjGgGUA6NLw09EwE0CqkOc4q9oUmW1yo/edit?usp=sharing"",""นครสวรรค์!J9"")"),0)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IFERROR(__xludf.DUMMYFUNCTION("IMPORTRANGE(""https://docs.google.com/spreadsheets/d/11923uPwbBZFjjGgGUA6NLw09EwE0CqkOc4q9oUmW1yo/edit?usp=sharing"",""นครสวรรค์!I10"")"),40)</f>
        <v>40</v>
      </c>
      <c r="J65" s="148">
        <f ca="1">IFERROR(__xludf.DUMMYFUNCTION("IMPORTRANGE(""https://docs.google.com/spreadsheets/d/11923uPwbBZFjjGgGUA6NLw09EwE0CqkOc4q9oUmW1yo/edit?usp=sharing"",""นครสวรรค์!J10"")"),0)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745500</v>
      </c>
      <c r="M66" s="158">
        <f t="shared" ca="1" si="45"/>
        <v>409320</v>
      </c>
      <c r="N66" s="158">
        <f t="shared" ca="1" si="45"/>
        <v>257781</v>
      </c>
      <c r="O66" s="157">
        <f t="shared" ref="O66:O68" ca="1" si="46">IF(L66&gt;0,N66*100/L66,0)</f>
        <v>34.578269617706241</v>
      </c>
      <c r="P66" s="157">
        <f t="shared" ref="P66:P68" ca="1" si="47">IF(M66&gt;0,N66*100/M66,0)</f>
        <v>62.977865728525359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745500</v>
      </c>
      <c r="M68" s="163">
        <f t="shared" ca="1" si="49"/>
        <v>409320</v>
      </c>
      <c r="N68" s="163">
        <f t="shared" ca="1" si="49"/>
        <v>257781</v>
      </c>
      <c r="O68" s="162">
        <f t="shared" ca="1" si="46"/>
        <v>34.578269617706241</v>
      </c>
      <c r="P68" s="162">
        <f t="shared" ca="1" si="47"/>
        <v>62.977865728525359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745500</v>
      </c>
      <c r="M70" s="176">
        <f ca="1">IFERROR(__xludf.DUMMYFUNCTION("IMPORTRANGE(""https://docs.google.com/spreadsheets/d/1Yj_ptqi66GCucihVvJfMjLAmec39IyEx_6qawtMGysU/edit?usp=sharing"",""สบก!AI24"")"),409320)</f>
        <v>409320</v>
      </c>
      <c r="N70" s="177">
        <f ca="1">IFERROR(__xludf.DUMMYFUNCTION("IMPORTRANGE(""https://docs.google.com/spreadsheets/d/1Yj_ptqi66GCucihVvJfMjLAmec39IyEx_6qawtMGysU/edit?usp=sharing"",""สบก!AJ24"")"),257781)</f>
        <v>257781</v>
      </c>
      <c r="O70" s="178">
        <f ca="1">IF(L70&gt;0,N70*100/L70,0)</f>
        <v>34.578269617706241</v>
      </c>
      <c r="P70" s="178">
        <f ca="1">IF(M70&gt;0,N70*100/M70,0)</f>
        <v>62.977865728525359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IFERROR(__xludf.DUMMYFUNCTION("IMPORTRANGE(""https://docs.google.com/spreadsheets/d/1Yj_ptqi66GCucihVvJfMjLAmec39IyEx_6qawtMGysU/edit?usp=sharing"",""สบก!AE24"")"),311500)</f>
        <v>311500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IFERROR(__xludf.DUMMYFUNCTION("IMPORTRANGE(""https://docs.google.com/spreadsheets/d/1Yj_ptqi66GCucihVvJfMjLAmec39IyEx_6qawtMGysU/edit?usp=sharing"",""สบก!AF24"")"),434000)</f>
        <v>434000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IFERROR(__xludf.DUMMYFUNCTION("IMPORTRANGE(""https://docs.google.com/spreadsheets/d/1Yj_ptqi66GCucihVvJfMjLAmec39IyEx_6qawtMGysU/edit?usp=sharing"",""สบก!AG24"")"),0)</f>
        <v>0</v>
      </c>
      <c r="M74" s="103"/>
      <c r="N74" s="93">
        <f ca="1">IFERROR(__xludf.DUMMYFUNCTION("IMPORTRANGE(""https://docs.google.com/spreadsheets/d/1Yj_ptqi66GCucihVvJfMjLAmec39IyEx_6qawtMGysU/edit?usp=sharing"",""สบก!AK24"")"),0)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IFERROR(__xludf.DUMMYFUNCTION("IMPORTRANGE(""https://docs.google.com/spreadsheets/d/11923uPwbBZFjjGgGUA6NLw09EwE0CqkOc4q9oUmW1yo/edit?usp=sharing"",""นครสวรรค์!J16"")"),0)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IFERROR(__xludf.DUMMYFUNCTION("IMPORTRANGE(""https://docs.google.com/spreadsheets/d/11923uPwbBZFjjGgGUA6NLw09EwE0CqkOc4q9oUmW1yo/edit?usp=sharing"",""นครสวรรค์!J17"")"),1)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IFERROR(__xludf.DUMMYFUNCTION("IMPORTRANGE(""https://docs.google.com/spreadsheets/d/11923uPwbBZFjjGgGUA6NLw09EwE0CqkOc4q9oUmW1yo/edit?usp=sharing"",""นครสวรรค์!J18"")"),1)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IFERROR(__xludf.DUMMYFUNCTION("IMPORTRANGE(""https://docs.google.com/spreadsheets/d/11923uPwbBZFjjGgGUA6NLw09EwE0CqkOc4q9oUmW1yo/edit?usp=sharing"",""นครสวรรค์!J19"")"),1)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IFERROR(__xludf.DUMMYFUNCTION("IMPORTRANGE(""https://docs.google.com/spreadsheets/d/11923uPwbBZFjjGgGUA6NLw09EwE0CqkOc4q9oUmW1yo/edit?usp=sharing"",""นครสวรรค์!I20"")"),1)</f>
        <v>1</v>
      </c>
      <c r="J80" s="210">
        <f ca="1">IFERROR(__xludf.DUMMYFUNCTION("IMPORTRANGE(""https://docs.google.com/spreadsheets/d/11923uPwbBZFjjGgGUA6NLw09EwE0CqkOc4q9oUmW1yo/edit?usp=sharing"",""นครสวรรค์!J20"")"),0)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IFERROR(__xludf.DUMMYFUNCTION("IMPORTRANGE(""https://docs.google.com/spreadsheets/d/11923uPwbBZFjjGgGUA6NLw09EwE0CqkOc4q9oUmW1yo/edit?usp=sharing"",""นครสวรรค์!I21"")"),40)</f>
        <v>40</v>
      </c>
      <c r="J81" s="210">
        <f ca="1">IFERROR(__xludf.DUMMYFUNCTION("IMPORTRANGE(""https://docs.google.com/spreadsheets/d/11923uPwbBZFjjGgGUA6NLw09EwE0CqkOc4q9oUmW1yo/edit?usp=sharing"",""นครสวรรค์!J21"")"),0)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IFERROR(__xludf.DUMMYFUNCTION("IMPORTRANGE(""https://docs.google.com/spreadsheets/d/11923uPwbBZFjjGgGUA6NLw09EwE0CqkOc4q9oUmW1yo/edit?usp=sharing"",""นครสวรรค์!I22"")"),0)</f>
        <v>0</v>
      </c>
      <c r="J82" s="213">
        <f ca="1">IFERROR(__xludf.DUMMYFUNCTION("IMPORTRANGE(""https://docs.google.com/spreadsheets/d/11923uPwbBZFjjGgGUA6NLw09EwE0CqkOc4q9oUmW1yo/edit?usp=sharing"",""นครสวรรค์!J22"")"),0)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IFERROR(__xludf.DUMMYFUNCTION("IMPORTRANGE(""https://docs.google.com/spreadsheets/d/11923uPwbBZFjjGgGUA6NLw09EwE0CqkOc4q9oUmW1yo/edit?usp=sharing"",""นครสวรรค์!I23"")"),0)</f>
        <v>0</v>
      </c>
      <c r="J83" s="213">
        <f ca="1">IFERROR(__xludf.DUMMYFUNCTION("IMPORTRANGE(""https://docs.google.com/spreadsheets/d/11923uPwbBZFjjGgGUA6NLw09EwE0CqkOc4q9oUmW1yo/edit?usp=sharing"",""นครสวรรค์!J23"")"),0)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IFERROR(__xludf.DUMMYFUNCTION("IMPORTRANGE(""https://docs.google.com/spreadsheets/d/11923uPwbBZFjjGgGUA6NLw09EwE0CqkOc4q9oUmW1yo/edit?usp=sharing"",""นครสวรรค์!I24"")"),1)</f>
        <v>1</v>
      </c>
      <c r="J84" s="198">
        <f ca="1">IFERROR(__xludf.DUMMYFUNCTION("IMPORTRANGE(""https://docs.google.com/spreadsheets/d/11923uPwbBZFjjGgGUA6NLw09EwE0CqkOc4q9oUmW1yo/edit?usp=sharing"",""นครสวรรค์!J24"")"),0)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IFERROR(__xludf.DUMMYFUNCTION("IMPORTRANGE(""https://docs.google.com/spreadsheets/d/11923uPwbBZFjjGgGUA6NLw09EwE0CqkOc4q9oUmW1yo/edit?usp=sharing"",""นครสวรรค์!I25"")"),40)</f>
        <v>40</v>
      </c>
      <c r="J85" s="198">
        <f ca="1">IFERROR(__xludf.DUMMYFUNCTION("IMPORTRANGE(""https://docs.google.com/spreadsheets/d/11923uPwbBZFjjGgGUA6NLw09EwE0CqkOc4q9oUmW1yo/edit?usp=sharing"",""นครสวรรค์!J25"")"),0)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IFERROR(__xludf.DUMMYFUNCTION("IMPORTRANGE(""https://docs.google.com/spreadsheets/d/11923uPwbBZFjjGgGUA6NLw09EwE0CqkOc4q9oUmW1yo/edit?usp=sharing"",""นครสวรรค์!I26"")"),0)</f>
        <v>0</v>
      </c>
      <c r="J86" s="213">
        <f ca="1">IFERROR(__xludf.DUMMYFUNCTION("IMPORTRANGE(""https://docs.google.com/spreadsheets/d/11923uPwbBZFjjGgGUA6NLw09EwE0CqkOc4q9oUmW1yo/edit?usp=sharing"",""นครสวรรค์!J26"")"),0)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IFERROR(__xludf.DUMMYFUNCTION("IMPORTRANGE(""https://docs.google.com/spreadsheets/d/11923uPwbBZFjjGgGUA6NLw09EwE0CqkOc4q9oUmW1yo/edit?usp=sharing"",""นครสวรรค์!I27"")"),0)</f>
        <v>0</v>
      </c>
      <c r="J87" s="213">
        <f ca="1">IFERROR(__xludf.DUMMYFUNCTION("IMPORTRANGE(""https://docs.google.com/spreadsheets/d/11923uPwbBZFjjGgGUA6NLw09EwE0CqkOc4q9oUmW1yo/edit?usp=sharing"",""นครสวรรค์!J27"")"),0)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IFERROR(__xludf.DUMMYFUNCTION("IMPORTRANGE(""https://docs.google.com/spreadsheets/d/11923uPwbBZFjjGgGUA6NLw09EwE0CqkOc4q9oUmW1yo/edit?usp=sharing"",""นครสวรรค์!I28"")"),0)</f>
        <v>0</v>
      </c>
      <c r="J88" s="213">
        <f ca="1">IFERROR(__xludf.DUMMYFUNCTION("IMPORTRANGE(""https://docs.google.com/spreadsheets/d/11923uPwbBZFjjGgGUA6NLw09EwE0CqkOc4q9oUmW1yo/edit?usp=sharing"",""นครสวรรค์!J28"")"),0)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IFERROR(__xludf.DUMMYFUNCTION("IMPORTRANGE(""https://docs.google.com/spreadsheets/d/11923uPwbBZFjjGgGUA6NLw09EwE0CqkOc4q9oUmW1yo/edit?usp=sharing"",""นครสวรรค์!J29"")"),0)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IFERROR(__xludf.DUMMYFUNCTION("IMPORTRANGE(""https://docs.google.com/spreadsheets/d/11923uPwbBZFjjGgGUA6NLw09EwE0CqkOc4q9oUmW1yo/edit?usp=sharing"",""นครสวรรค์!J30"")"),0)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IFERROR(__xludf.DUMMYFUNCTION("IMPORTRANGE(""https://docs.google.com/spreadsheets/d/11923uPwbBZFjjGgGUA6NLw09EwE0CqkOc4q9oUmW1yo/edit?usp=sharing"",""นครสวรรค์!I32"")"),4)</f>
        <v>4</v>
      </c>
      <c r="J92" s="148">
        <f ca="1">IFERROR(__xludf.DUMMYFUNCTION("IMPORTRANGE(""https://docs.google.com/spreadsheets/d/11923uPwbBZFjjGgGUA6NLw09EwE0CqkOc4q9oUmW1yo/edit?usp=sharing"",""นครสวรรค์!J32"")"),0)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IFERROR(__xludf.DUMMYFUNCTION("IMPORTRANGE(""https://docs.google.com/spreadsheets/d/11923uPwbBZFjjGgGUA6NLw09EwE0CqkOc4q9oUmW1yo/edit?usp=sharing"",""นครสวรรค์!I33"")"),1)</f>
        <v>1</v>
      </c>
      <c r="J93" s="148">
        <f ca="1">IFERROR(__xludf.DUMMYFUNCTION("IMPORTRANGE(""https://docs.google.com/spreadsheets/d/11923uPwbBZFjjGgGUA6NLw09EwE0CqkOc4q9oUmW1yo/edit?usp=sharing"",""นครสวรรค์!J33"")"),0)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95080</v>
      </c>
      <c r="O94" s="157">
        <f t="shared" ref="O94:O96" ca="1" si="53">IF(L94&gt;0,N94*100/L94,0)</f>
        <v>44.326340326340329</v>
      </c>
      <c r="P94" s="157">
        <f t="shared" ref="P94:P96" ca="1" si="54">IF(M94&gt;0,N94*100/M94,0)</f>
        <v>138.33842572384694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95080</v>
      </c>
      <c r="O96" s="162">
        <f t="shared" ca="1" si="53"/>
        <v>44.326340326340329</v>
      </c>
      <c r="P96" s="162">
        <f t="shared" ca="1" si="54"/>
        <v>138.33842572384694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IFERROR(__xludf.DUMMYFUNCTION("IMPORTRANGE(""https://docs.google.com/spreadsheets/d/1Yj_ptqi66GCucihVvJfMjLAmec39IyEx_6qawtMGysU/edit?usp=sharing"",""สบก!AR24"")"),68730)</f>
        <v>68730</v>
      </c>
      <c r="N98" s="177">
        <f ca="1">IFERROR(__xludf.DUMMYFUNCTION("IMPORTRANGE(""https://docs.google.com/spreadsheets/d/1Yj_ptqi66GCucihVvJfMjLAmec39IyEx_6qawtMGysU/edit?usp=sharing"",""สบก!AS24"")"),2680)</f>
        <v>2680</v>
      </c>
      <c r="O98" s="178">
        <f ca="1">IF(L98&gt;0,N98*100/L98,0)</f>
        <v>2.1949221949221949</v>
      </c>
      <c r="P98" s="178">
        <f ca="1">IF(M98&gt;0,N98*100/M98,0)</f>
        <v>3.899316164702459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IFERROR(__xludf.DUMMYFUNCTION("IMPORTRANGE(""https://docs.google.com/spreadsheets/d/1Yj_ptqi66GCucihVvJfMjLAmec39IyEx_6qawtMGysU/edit?usp=sharing"",""สบก!AN24"")"),0)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IFERROR(__xludf.DUMMYFUNCTION("IMPORTRANGE(""https://docs.google.com/spreadsheets/d/1Yj_ptqi66GCucihVvJfMjLAmec39IyEx_6qawtMGysU/edit?usp=sharing"",""สบก!AO24"")"),122100)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IFERROR(__xludf.DUMMYFUNCTION("IMPORTRANGE(""https://docs.google.com/spreadsheets/d/1Yj_ptqi66GCucihVvJfMjLAmec39IyEx_6qawtMGysU/edit?usp=sharing"",""สบก!AP24"")"),92400)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IFERROR(__xludf.DUMMYFUNCTION("IMPORTRANGE(""https://docs.google.com/spreadsheets/d/1Yj_ptqi66GCucihVvJfMjLAmec39IyEx_6qawtMGysU/edit?usp=sharing"",""สบก!AT24"")"),92400)</f>
        <v>92400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IFERROR(__xludf.DUMMYFUNCTION("IMPORTRANGE(""https://docs.google.com/spreadsheets/d/11923uPwbBZFjjGgGUA6NLw09EwE0CqkOc4q9oUmW1yo/edit?usp=sharing"",""นครสวรรค์!J39"")"),0)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IFERROR(__xludf.DUMMYFUNCTION("IMPORTRANGE(""https://docs.google.com/spreadsheets/d/11923uPwbBZFjjGgGUA6NLw09EwE0CqkOc4q9oUmW1yo/edit?usp=sharing"",""นครสวรรค์!J40"")"),1)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IFERROR(__xludf.DUMMYFUNCTION("IMPORTRANGE(""https://docs.google.com/spreadsheets/d/11923uPwbBZFjjGgGUA6NLw09EwE0CqkOc4q9oUmW1yo/edit?usp=sharing"",""นครสวรรค์!J41"")"),1)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IFERROR(__xludf.DUMMYFUNCTION("IMPORTRANGE(""https://docs.google.com/spreadsheets/d/11923uPwbBZFjjGgGUA6NLw09EwE0CqkOc4q9oUmW1yo/edit?usp=sharing"",""นครสวรรค์!J42"")"),1)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IFERROR(__xludf.DUMMYFUNCTION("IMPORTRANGE(""https://docs.google.com/spreadsheets/d/11923uPwbBZFjjGgGUA6NLw09EwE0CqkOc4q9oUmW1yo/edit?usp=sharing"",""นครสวรรค์!I43"")"),1)</f>
        <v>1</v>
      </c>
      <c r="J108" s="213">
        <f ca="1">IFERROR(__xludf.DUMMYFUNCTION("IMPORTRANGE(""https://docs.google.com/spreadsheets/d/11923uPwbBZFjjGgGUA6NLw09EwE0CqkOc4q9oUmW1yo/edit?usp=sharing"",""นครสวรรค์!J43"")"),0)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IFERROR(__xludf.DUMMYFUNCTION("IMPORTRANGE(""https://docs.google.com/spreadsheets/d/11923uPwbBZFjjGgGUA6NLw09EwE0CqkOc4q9oUmW1yo/edit?usp=sharing"",""นครสวรรค์!I44"")"),4)</f>
        <v>4</v>
      </c>
      <c r="J109" s="213">
        <f ca="1">IFERROR(__xludf.DUMMYFUNCTION("IMPORTRANGE(""https://docs.google.com/spreadsheets/d/11923uPwbBZFjjGgGUA6NLw09EwE0CqkOc4q9oUmW1yo/edit?usp=sharing"",""นครสวรรค์!J44"")"),0)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IFERROR(__xludf.DUMMYFUNCTION("IMPORTRANGE(""https://docs.google.com/spreadsheets/d/11923uPwbBZFjjGgGUA6NLw09EwE0CqkOc4q9oUmW1yo/edit?usp=sharing"",""นครสวรรค์!I45"")"),4)</f>
        <v>4</v>
      </c>
      <c r="J110" s="213">
        <f ca="1">IFERROR(__xludf.DUMMYFUNCTION("IMPORTRANGE(""https://docs.google.com/spreadsheets/d/11923uPwbBZFjjGgGUA6NLw09EwE0CqkOc4q9oUmW1yo/edit?usp=sharing"",""นครสวรรค์!J45"")"),4)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IFERROR(__xludf.DUMMYFUNCTION("IMPORTRANGE(""https://docs.google.com/spreadsheets/d/11923uPwbBZFjjGgGUA6NLw09EwE0CqkOc4q9oUmW1yo/edit?usp=sharing"",""นครสวรรค์!I46"")"),4)</f>
        <v>4</v>
      </c>
      <c r="J111" s="213">
        <f ca="1">IFERROR(__xludf.DUMMYFUNCTION("IMPORTRANGE(""https://docs.google.com/spreadsheets/d/11923uPwbBZFjjGgGUA6NLw09EwE0CqkOc4q9oUmW1yo/edit?usp=sharing"",""นครสวรรค์!J46"")"),0)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IFERROR(__xludf.DUMMYFUNCTION("IMPORTRANGE(""https://docs.google.com/spreadsheets/d/11923uPwbBZFjjGgGUA6NLw09EwE0CqkOc4q9oUmW1yo/edit?usp=sharing"",""นครสวรรค์!I47"")"),4)</f>
        <v>4</v>
      </c>
      <c r="J112" s="213">
        <f ca="1">IFERROR(__xludf.DUMMYFUNCTION("IMPORTRANGE(""https://docs.google.com/spreadsheets/d/11923uPwbBZFjjGgGUA6NLw09EwE0CqkOc4q9oUmW1yo/edit?usp=sharing"",""นครสวรรค์!J47"")"),0)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IFERROR(__xludf.DUMMYFUNCTION("IMPORTRANGE(""https://docs.google.com/spreadsheets/d/11923uPwbBZFjjGgGUA6NLw09EwE0CqkOc4q9oUmW1yo/edit?usp=sharing"",""นครสวรรค์!I48"")"),1)</f>
        <v>1</v>
      </c>
      <c r="J113" s="213">
        <f ca="1">IFERROR(__xludf.DUMMYFUNCTION("IMPORTRANGE(""https://docs.google.com/spreadsheets/d/11923uPwbBZFjjGgGUA6NLw09EwE0CqkOc4q9oUmW1yo/edit?usp=sharing"",""นครสวรรค์!J48"")"),0)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IFERROR(__xludf.DUMMYFUNCTION("IMPORTRANGE(""https://docs.google.com/spreadsheets/d/11923uPwbBZFjjGgGUA6NLw09EwE0CqkOc4q9oUmW1yo/edit?usp=sharing"",""นครสวรรค์!J49"")"),0)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IFERROR(__xludf.DUMMYFUNCTION("IMPORTRANGE(""https://docs.google.com/spreadsheets/d/11923uPwbBZFjjGgGUA6NLw09EwE0CqkOc4q9oUmW1yo/edit?usp=sharing"",""นครสวรรค์!J50"")"),0)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IFERROR(__xludf.DUMMYFUNCTION("IMPORTRANGE(""https://docs.google.com/spreadsheets/d/11923uPwbBZFjjGgGUA6NLw09EwE0CqkOc4q9oUmW1yo/edit?usp=sharing"",""นครสวรรค์!I52"")"),20)</f>
        <v>20</v>
      </c>
      <c r="J117" s="148">
        <f ca="1">IFERROR(__xludf.DUMMYFUNCTION("IMPORTRANGE(""https://docs.google.com/spreadsheets/d/11923uPwbBZFjjGgGUA6NLw09EwE0CqkOc4q9oUmW1yo/edit?usp=sharing"",""นครสวรรค์!J52"")"),20)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41870</v>
      </c>
      <c r="O118" s="157">
        <f t="shared" ref="O118:O120" ca="1" si="59">IF(L118&gt;0,N118*100/L118,0)</f>
        <v>50.788452207666182</v>
      </c>
      <c r="P118" s="157">
        <f t="shared" ref="P118:P120" ca="1" si="60">IF(M118&gt;0,N118*100/M118,0)</f>
        <v>63.01926550270921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41870</v>
      </c>
      <c r="O120" s="162">
        <f t="shared" ca="1" si="59"/>
        <v>50.788452207666182</v>
      </c>
      <c r="P120" s="162">
        <f t="shared" ca="1" si="60"/>
        <v>63.01926550270921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IFERROR(__xludf.DUMMYFUNCTION("IMPORTRANGE(""https://docs.google.com/spreadsheets/d/1Yj_ptqi66GCucihVvJfMjLAmec39IyEx_6qawtMGysU/edit?usp=sharing"",""สบก!BA24"")"),66440)</f>
        <v>66440</v>
      </c>
      <c r="N122" s="177">
        <f ca="1">IFERROR(__xludf.DUMMYFUNCTION("IMPORTRANGE(""https://docs.google.com/spreadsheets/d/1Yj_ptqi66GCucihVvJfMjLAmec39IyEx_6qawtMGysU/edit?usp=sharing"",""สบก!BB24"")"),41870)</f>
        <v>41870</v>
      </c>
      <c r="O122" s="178">
        <f ca="1">IF(L122&gt;0,N122*100/L122,0)</f>
        <v>50.788452207666182</v>
      </c>
      <c r="P122" s="178">
        <f ca="1">IF(M122&gt;0,N122*100/M122,0)</f>
        <v>63.01926550270921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IFERROR(__xludf.DUMMYFUNCTION("IMPORTRANGE(""https://docs.google.com/spreadsheets/d/1Yj_ptqi66GCucihVvJfMjLAmec39IyEx_6qawtMGysU/edit?usp=sharing"",""สบก!AW24"")"),0)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IFERROR(__xludf.DUMMYFUNCTION("IMPORTRANGE(""https://docs.google.com/spreadsheets/d/1Yj_ptqi66GCucihVvJfMjLAmec39IyEx_6qawtMGysU/edit?usp=sharing"",""สบก!AX24"")"),82440)</f>
        <v>82440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IFERROR(__xludf.DUMMYFUNCTION("IMPORTRANGE(""https://docs.google.com/spreadsheets/d/1Yj_ptqi66GCucihVvJfMjLAmec39IyEx_6qawtMGysU/edit?usp=sharing"",""สบก!AY24"")"),0)</f>
        <v>0</v>
      </c>
      <c r="M126" s="103"/>
      <c r="N126" s="93">
        <f ca="1">IFERROR(__xludf.DUMMYFUNCTION("IMPORTRANGE(""https://docs.google.com/spreadsheets/d/1Yj_ptqi66GCucihVvJfMjLAmec39IyEx_6qawtMGysU/edit?usp=sharing"",""สบก!BC24"")"),0)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247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IFERROR(__xludf.DUMMYFUNCTION("IMPORTRANGE(""https://docs.google.com/spreadsheets/d/11923uPwbBZFjjGgGUA6NLw09EwE0CqkOc4q9oUmW1yo/edit?usp=sharing"",""นครสวรรค์!J58"")"),0)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IFERROR(__xludf.DUMMYFUNCTION("IMPORTRANGE(""https://docs.google.com/spreadsheets/d/11923uPwbBZFjjGgGUA6NLw09EwE0CqkOc4q9oUmW1yo/edit?usp=sharing"",""นครสวรรค์!J59"")"),1)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IFERROR(__xludf.DUMMYFUNCTION("IMPORTRANGE(""https://docs.google.com/spreadsheets/d/11923uPwbBZFjjGgGUA6NLw09EwE0CqkOc4q9oUmW1yo/edit?usp=sharing"",""นครสวรรค์!J60"")"),1)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IFERROR(__xludf.DUMMYFUNCTION("IMPORTRANGE(""https://docs.google.com/spreadsheets/d/11923uPwbBZFjjGgGUA6NLw09EwE0CqkOc4q9oUmW1yo/edit?usp=sharing"",""นครสวรรค์!J61"")"),1)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IFERROR(__xludf.DUMMYFUNCTION("IMPORTRANGE(""https://docs.google.com/spreadsheets/d/11923uPwbBZFjjGgGUA6NLw09EwE0CqkOc4q9oUmW1yo/edit?usp=sharing"",""นครสวรรค์!I62"")"),20)</f>
        <v>20</v>
      </c>
      <c r="J132" s="213">
        <f ca="1">IFERROR(__xludf.DUMMYFUNCTION("IMPORTRANGE(""https://docs.google.com/spreadsheets/d/11923uPwbBZFjjGgGUA6NLw09EwE0CqkOc4q9oUmW1yo/edit?usp=sharing"",""นครสวรรค์!J62"")"),20)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IFERROR(__xludf.DUMMYFUNCTION("IMPORTRANGE(""https://docs.google.com/spreadsheets/d/11923uPwbBZFjjGgGUA6NLw09EwE0CqkOc4q9oUmW1yo/edit?usp=sharing"",""นครสวรรค์!I63"")"),20)</f>
        <v>20</v>
      </c>
      <c r="J133" s="213">
        <f ca="1">IFERROR(__xludf.DUMMYFUNCTION("IMPORTRANGE(""https://docs.google.com/spreadsheets/d/11923uPwbBZFjjGgGUA6NLw09EwE0CqkOc4q9oUmW1yo/edit?usp=sharing"",""นครสวรรค์!J63"")"),0)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IFERROR(__xludf.DUMMYFUNCTION("IMPORTRANGE(""https://docs.google.com/spreadsheets/d/11923uPwbBZFjjGgGUA6NLw09EwE0CqkOc4q9oUmW1yo/edit?usp=sharing"",""นครสวรรค์!J64"")"),0)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IFERROR(__xludf.DUMMYFUNCTION("IMPORTRANGE(""https://docs.google.com/spreadsheets/d/11923uPwbBZFjjGgGUA6NLw09EwE0CqkOc4q9oUmW1yo/edit?usp=sharing"",""นครสวรรค์!J65"")"),0)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IFERROR(__xludf.DUMMYFUNCTION("IMPORTRANGE(""https://docs.google.com/spreadsheets/d/11923uPwbBZFjjGgGUA6NLw09EwE0CqkOc4q9oUmW1yo/edit?usp=sharing"",""นครสวรรค์!I68"")"),0)</f>
        <v>0</v>
      </c>
      <c r="J138" s="276">
        <f ca="1">IFERROR(__xludf.DUMMYFUNCTION("IMPORTRANGE(""https://docs.google.com/spreadsheets/d/11923uPwbBZFjjGgGUA6NLw09EwE0CqkOc4q9oUmW1yo/edit?usp=sharing"",""นครสวรรค์!J68"")"),0)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163500</v>
      </c>
      <c r="M140" s="158">
        <f t="shared" ca="1" si="64"/>
        <v>73750</v>
      </c>
      <c r="N140" s="158">
        <f t="shared" ca="1" si="64"/>
        <v>1790</v>
      </c>
      <c r="O140" s="157">
        <f t="shared" ref="O140:O142" ca="1" si="65">IF(L140&gt;0,N140*100/L140,0)</f>
        <v>1.0948012232415902</v>
      </c>
      <c r="P140" s="157">
        <f t="shared" ref="P140:P142" ca="1" si="66">IF(M140&gt;0,N140*100/M140,0)</f>
        <v>2.4271186440677965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163500</v>
      </c>
      <c r="M142" s="163">
        <f t="shared" ca="1" si="68"/>
        <v>73750</v>
      </c>
      <c r="N142" s="163">
        <f t="shared" ca="1" si="68"/>
        <v>1790</v>
      </c>
      <c r="O142" s="162">
        <f t="shared" ca="1" si="65"/>
        <v>1.0948012232415902</v>
      </c>
      <c r="P142" s="162">
        <f t="shared" ca="1" si="66"/>
        <v>2.4271186440677965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163500</v>
      </c>
      <c r="M144" s="176">
        <f ca="1">IFERROR(__xludf.DUMMYFUNCTION("IMPORTRANGE(""https://docs.google.com/spreadsheets/d/1Yj_ptqi66GCucihVvJfMjLAmec39IyEx_6qawtMGysU/edit?usp=sharing"",""สบก!BJ24"")"),73750)</f>
        <v>73750</v>
      </c>
      <c r="N144" s="177">
        <f ca="1">IFERROR(__xludf.DUMMYFUNCTION("IMPORTRANGE(""https://docs.google.com/spreadsheets/d/1Yj_ptqi66GCucihVvJfMjLAmec39IyEx_6qawtMGysU/edit?usp=sharing"",""สบก!BK24"")"),1790)</f>
        <v>1790</v>
      </c>
      <c r="O144" s="178">
        <f ca="1">IF(L144&gt;0,N144*100/L144,0)</f>
        <v>1.0948012232415902</v>
      </c>
      <c r="P144" s="178">
        <f ca="1">IF(M144&gt;0,N144*100/M144,0)</f>
        <v>2.4271186440677965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IFERROR(__xludf.DUMMYFUNCTION("IMPORTRANGE(""https://docs.google.com/spreadsheets/d/1Yj_ptqi66GCucihVvJfMjLAmec39IyEx_6qawtMGysU/edit?usp=sharing"",""สบก!BF24"")"),0)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IFERROR(__xludf.DUMMYFUNCTION("IMPORTRANGE(""https://docs.google.com/spreadsheets/d/1Yj_ptqi66GCucihVvJfMjLAmec39IyEx_6qawtMGysU/edit?usp=sharing"",""สบก!BG24"")"),163500)</f>
        <v>163500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IFERROR(__xludf.DUMMYFUNCTION("IMPORTRANGE(""https://docs.google.com/spreadsheets/d/1Yj_ptqi66GCucihVvJfMjLAmec39IyEx_6qawtMGysU/edit?usp=sharing"",""สบก!BH24"")"),0)</f>
        <v>0</v>
      </c>
      <c r="M148" s="103"/>
      <c r="N148" s="93">
        <f ca="1">IFERROR(__xludf.DUMMYFUNCTION("IMPORTRANGE(""https://docs.google.com/spreadsheets/d/1Yj_ptqi66GCucihVvJfMjLAmec39IyEx_6qawtMGysU/edit?usp=sharing"",""สบก!BL24"")"),0)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IFERROR(__xludf.DUMMYFUNCTION("IMPORTRANGE(""https://docs.google.com/spreadsheets/d/11923uPwbBZFjjGgGUA6NLw09EwE0CqkOc4q9oUmW1yo/edit?usp=sharing"",""นครสวรรค์!I74"")"),4)</f>
        <v>4</v>
      </c>
      <c r="J149" s="284">
        <f ca="1">IFERROR(__xludf.DUMMYFUNCTION("IMPORTRANGE(""https://docs.google.com/spreadsheets/d/11923uPwbBZFjjGgGUA6NLw09EwE0CqkOc4q9oUmW1yo/edit?usp=sharing"",""นครสวรรค์!J74"")"),1)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IFERROR(__xludf.DUMMYFUNCTION("IMPORTRANGE(""https://docs.google.com/spreadsheets/d/11923uPwbBZFjjGgGUA6NLw09EwE0CqkOc4q9oUmW1yo/edit?usp=sharing"",""นครสวรรค์!J79"")"),0)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IFERROR(__xludf.DUMMYFUNCTION("IMPORTRANGE(""https://docs.google.com/spreadsheets/d/11923uPwbBZFjjGgGUA6NLw09EwE0CqkOc4q9oUmW1yo/edit?usp=sharing"",""นครสวรรค์!J80"")"),1)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IFERROR(__xludf.DUMMYFUNCTION("IMPORTRANGE(""https://docs.google.com/spreadsheets/d/11923uPwbBZFjjGgGUA6NLw09EwE0CqkOc4q9oUmW1yo/edit?usp=sharing"",""นครสวรรค์!J81"")"),1)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IFERROR(__xludf.DUMMYFUNCTION("IMPORTRANGE(""https://docs.google.com/spreadsheets/d/11923uPwbBZFjjGgGUA6NLw09EwE0CqkOc4q9oUmW1yo/edit?usp=sharing"",""นครสวรรค์!J82"")"),1)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IFERROR(__xludf.DUMMYFUNCTION("IMPORTRANGE(""https://docs.google.com/spreadsheets/d/11923uPwbBZFjjGgGUA6NLw09EwE0CqkOc4q9oUmW1yo/edit?usp=sharing"",""นครสวรรค์!I83"")"),4)</f>
        <v>4</v>
      </c>
      <c r="J158" s="198">
        <f ca="1">IFERROR(__xludf.DUMMYFUNCTION("IMPORTRANGE(""https://docs.google.com/spreadsheets/d/11923uPwbBZFjjGgGUA6NLw09EwE0CqkOc4q9oUmW1yo/edit?usp=sharing"",""นครสวรรค์!J83"")"),1)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IFERROR(__xludf.DUMMYFUNCTION("IMPORTRANGE(""https://docs.google.com/spreadsheets/d/11923uPwbBZFjjGgGUA6NLw09EwE0CqkOc4q9oUmW1yo/edit?usp=sharing"",""นครสวรรค์!J84"")"),0)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IFERROR(__xludf.DUMMYFUNCTION("IMPORTRANGE(""https://docs.google.com/spreadsheets/d/11923uPwbBZFjjGgGUA6NLw09EwE0CqkOc4q9oUmW1yo/edit?usp=sharing"",""นครสวรรค์!J85"")"),0)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IFERROR(__xludf.DUMMYFUNCTION("IMPORTRANGE(""https://docs.google.com/spreadsheets/d/11923uPwbBZFjjGgGUA6NLw09EwE0CqkOc4q9oUmW1yo/edit?usp=sharing"",""นครสวรรค์!J86"")"),0)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IFERROR(__xludf.DUMMYFUNCTION("IMPORTRANGE(""https://docs.google.com/spreadsheets/d/11923uPwbBZFjjGgGUA6NLw09EwE0CqkOc4q9oUmW1yo/edit?usp=sharing"",""นครสวรรค์!J87"")"),0)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IFERROR(__xludf.DUMMYFUNCTION("IMPORTRANGE(""https://docs.google.com/spreadsheets/d/11923uPwbBZFjjGgGUA6NLw09EwE0CqkOc4q9oUmW1yo/edit?usp=sharing"",""นครสวรรค์!J88"")"),0)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IFERROR(__xludf.DUMMYFUNCTION("IMPORTRANGE(""https://docs.google.com/spreadsheets/d/11923uPwbBZFjjGgGUA6NLw09EwE0CqkOc4q9oUmW1yo/edit?usp=sharing"",""นครสวรรค์!I89"")"),5)</f>
        <v>5</v>
      </c>
      <c r="J164" s="292">
        <f ca="1">IFERROR(__xludf.DUMMYFUNCTION("IMPORTRANGE(""https://docs.google.com/spreadsheets/d/11923uPwbBZFjjGgGUA6NLw09EwE0CqkOc4q9oUmW1yo/edit?usp=sharing"",""นครสวรรค์!J89"")"),0)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IFERROR(__xludf.DUMMYFUNCTION("IMPORTRANGE(""https://docs.google.com/spreadsheets/d/11923uPwbBZFjjGgGUA6NLw09EwE0CqkOc4q9oUmW1yo/edit?usp=sharing"",""นครสวรรค์!J94"")"),0)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IFERROR(__xludf.DUMMYFUNCTION("IMPORTRANGE(""https://docs.google.com/spreadsheets/d/11923uPwbBZFjjGgGUA6NLw09EwE0CqkOc4q9oUmW1yo/edit?usp=sharing"",""นครสวรรค์!J95"")"),1)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IFERROR(__xludf.DUMMYFUNCTION("IMPORTRANGE(""https://docs.google.com/spreadsheets/d/11923uPwbBZFjjGgGUA6NLw09EwE0CqkOc4q9oUmW1yo/edit?usp=sharing"",""นครสวรรค์!J96"")"),1)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IFERROR(__xludf.DUMMYFUNCTION("IMPORTRANGE(""https://docs.google.com/spreadsheets/d/11923uPwbBZFjjGgGUA6NLw09EwE0CqkOc4q9oUmW1yo/edit?usp=sharing"",""นครสวรรค์!J97"")"),1)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IFERROR(__xludf.DUMMYFUNCTION("IMPORTRANGE(""https://docs.google.com/spreadsheets/d/11923uPwbBZFjjGgGUA6NLw09EwE0CqkOc4q9oUmW1yo/edit?usp=sharing"",""นครสวรรค์!I98"")"),5)</f>
        <v>5</v>
      </c>
      <c r="J173" s="198">
        <f ca="1">IFERROR(__xludf.DUMMYFUNCTION("IMPORTRANGE(""https://docs.google.com/spreadsheets/d/11923uPwbBZFjjGgGUA6NLw09EwE0CqkOc4q9oUmW1yo/edit?usp=sharing"",""นครสวรรค์!J98"")"),0)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IFERROR(__xludf.DUMMYFUNCTION("IMPORTRANGE(""https://docs.google.com/spreadsheets/d/11923uPwbBZFjjGgGUA6NLw09EwE0CqkOc4q9oUmW1yo/edit?usp=sharing"",""นครสวรรค์!J99"")"),0)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IFERROR(__xludf.DUMMYFUNCTION("IMPORTRANGE(""https://docs.google.com/spreadsheets/d/11923uPwbBZFjjGgGUA6NLw09EwE0CqkOc4q9oUmW1yo/edit?usp=sharing"",""นครสวรรค์!J100"")"),0)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IFERROR(__xludf.DUMMYFUNCTION("IMPORTRANGE(""https://docs.google.com/spreadsheets/d/11923uPwbBZFjjGgGUA6NLw09EwE0CqkOc4q9oUmW1yo/edit?usp=sharing"",""นครสวรรค์!I101"")"),0)</f>
        <v>0</v>
      </c>
      <c r="J176" s="292">
        <f ca="1">IFERROR(__xludf.DUMMYFUNCTION("IMPORTRANGE(""https://docs.google.com/spreadsheets/d/11923uPwbBZFjjGgGUA6NLw09EwE0CqkOc4q9oUmW1yo/edit?usp=sharing"",""นครสวรรค์!J101"")"),0)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IFERROR(__xludf.DUMMYFUNCTION("IMPORTRANGE(""https://docs.google.com/spreadsheets/d/11923uPwbBZFjjGgGUA6NLw09EwE0CqkOc4q9oUmW1yo/edit?usp=sharing"",""นครสวรรค์!J106"")"),0)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IFERROR(__xludf.DUMMYFUNCTION("IMPORTRANGE(""https://docs.google.com/spreadsheets/d/11923uPwbBZFjjGgGUA6NLw09EwE0CqkOc4q9oUmW1yo/edit?usp=sharing"",""นครสวรรค์!J107"")"),0)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IFERROR(__xludf.DUMMYFUNCTION("IMPORTRANGE(""https://docs.google.com/spreadsheets/d/11923uPwbBZFjjGgGUA6NLw09EwE0CqkOc4q9oUmW1yo/edit?usp=sharing"",""นครสวรรค์!J108"")"),0)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IFERROR(__xludf.DUMMYFUNCTION("IMPORTRANGE(""https://docs.google.com/spreadsheets/d/11923uPwbBZFjjGgGUA6NLw09EwE0CqkOc4q9oUmW1yo/edit?usp=sharing"",""นครสวรรค์!J109"")"),0)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IFERROR(__xludf.DUMMYFUNCTION("IMPORTRANGE(""https://docs.google.com/spreadsheets/d/11923uPwbBZFjjGgGUA6NLw09EwE0CqkOc4q9oUmW1yo/edit?usp=sharing"",""นครสวรรค์!I110"")"),0)</f>
        <v>0</v>
      </c>
      <c r="J185" s="213">
        <f ca="1">IFERROR(__xludf.DUMMYFUNCTION("IMPORTRANGE(""https://docs.google.com/spreadsheets/d/11923uPwbBZFjjGgGUA6NLw09EwE0CqkOc4q9oUmW1yo/edit?usp=sharing"",""นครสวรรค์!J110"")"),0)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IFERROR(__xludf.DUMMYFUNCTION("IMPORTRANGE(""https://docs.google.com/spreadsheets/d/11923uPwbBZFjjGgGUA6NLw09EwE0CqkOc4q9oUmW1yo/edit?usp=sharing"",""นครสวรรค์!I111"")"),0)</f>
        <v>0</v>
      </c>
      <c r="J186" s="213">
        <f ca="1">IFERROR(__xludf.DUMMYFUNCTION("IMPORTRANGE(""https://docs.google.com/spreadsheets/d/11923uPwbBZFjjGgGUA6NLw09EwE0CqkOc4q9oUmW1yo/edit?usp=sharing"",""นครสวรรค์!J111"")"),0)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IFERROR(__xludf.DUMMYFUNCTION("IMPORTRANGE(""https://docs.google.com/spreadsheets/d/11923uPwbBZFjjGgGUA6NLw09EwE0CqkOc4q9oUmW1yo/edit?usp=sharing"",""นครสวรรค์!J112"")"),0)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IFERROR(__xludf.DUMMYFUNCTION("IMPORTRANGE(""https://docs.google.com/spreadsheets/d/11923uPwbBZFjjGgGUA6NLw09EwE0CqkOc4q9oUmW1yo/edit?usp=sharing"",""นครสวรรค์!J113"")"),0)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IFERROR(__xludf.DUMMYFUNCTION("IMPORTRANGE(""https://docs.google.com/spreadsheets/d/11923uPwbBZFjjGgGUA6NLw09EwE0CqkOc4q9oUmW1yo/edit?usp=sharing"",""นครสวรรค์!I114"")"),300000)</f>
        <v>300000</v>
      </c>
      <c r="J189" s="292">
        <f ca="1">IFERROR(__xludf.DUMMYFUNCTION("IMPORTRANGE(""https://docs.google.com/spreadsheets/d/11923uPwbBZFjjGgGUA6NLw09EwE0CqkOc4q9oUmW1yo/edit?usp=sharing"",""นครสวรรค์!J114"")"),0)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IFERROR(__xludf.DUMMYFUNCTION("IMPORTRANGE(""https://docs.google.com/spreadsheets/d/11923uPwbBZFjjGgGUA6NLw09EwE0CqkOc4q9oUmW1yo/edit?usp=sharing"",""นครสวรรค์!J119"")"),0)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IFERROR(__xludf.DUMMYFUNCTION("IMPORTRANGE(""https://docs.google.com/spreadsheets/d/11923uPwbBZFjjGgGUA6NLw09EwE0CqkOc4q9oUmW1yo/edit?usp=sharing"",""นครสวรรค์!J120"")"),1)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IFERROR(__xludf.DUMMYFUNCTION("IMPORTRANGE(""https://docs.google.com/spreadsheets/d/11923uPwbBZFjjGgGUA6NLw09EwE0CqkOc4q9oUmW1yo/edit?usp=sharing"",""นครสวรรค์!J121"")"),1)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IFERROR(__xludf.DUMMYFUNCTION("IMPORTRANGE(""https://docs.google.com/spreadsheets/d/11923uPwbBZFjjGgGUA6NLw09EwE0CqkOc4q9oUmW1yo/edit?usp=sharing"",""นครสวรรค์!J122"")"),1)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IFERROR(__xludf.DUMMYFUNCTION("IMPORTRANGE(""https://docs.google.com/spreadsheets/d/11923uPwbBZFjjGgGUA6NLw09EwE0CqkOc4q9oUmW1yo/edit?usp=sharing"",""นครสวรรค์!I124"")"),300000)</f>
        <v>300000</v>
      </c>
      <c r="J199" s="198">
        <f ca="1">IFERROR(__xludf.DUMMYFUNCTION("IMPORTRANGE(""https://docs.google.com/spreadsheets/d/11923uPwbBZFjjGgGUA6NLw09EwE0CqkOc4q9oUmW1yo/edit?usp=sharing"",""นครสวรรค์!J124"")"),300000)</f>
        <v>300000</v>
      </c>
      <c r="K199" s="171">
        <f t="shared" ref="K199:K201" ca="1" si="70">IF(I199&gt;0,J199*100/I199,0)</f>
        <v>100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IFERROR(__xludf.DUMMYFUNCTION("IMPORTRANGE(""https://docs.google.com/spreadsheets/d/11923uPwbBZFjjGgGUA6NLw09EwE0CqkOc4q9oUmW1yo/edit?usp=sharing"",""นครสวรรค์!I125"")"),300000)</f>
        <v>300000</v>
      </c>
      <c r="J200" s="198">
        <f ca="1">IFERROR(__xludf.DUMMYFUNCTION("IMPORTRANGE(""https://docs.google.com/spreadsheets/d/11923uPwbBZFjjGgGUA6NLw09EwE0CqkOc4q9oUmW1yo/edit?usp=sharing"",""นครสวรรค์!J125"")"),0)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IFERROR(__xludf.DUMMYFUNCTION("IMPORTRANGE(""https://docs.google.com/spreadsheets/d/11923uPwbBZFjjGgGUA6NLw09EwE0CqkOc4q9oUmW1yo/edit?usp=sharing"",""นครสวรรค์!I126"")"),0)</f>
        <v>0</v>
      </c>
      <c r="J201" s="198">
        <f ca="1">IFERROR(__xludf.DUMMYFUNCTION("IMPORTRANGE(""https://docs.google.com/spreadsheets/d/11923uPwbBZFjjGgGUA6NLw09EwE0CqkOc4q9oUmW1yo/edit?usp=sharing"",""นครสวรรค์!J126"")"),0)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IFERROR(__xludf.DUMMYFUNCTION("IMPORTRANGE(""https://docs.google.com/spreadsheets/d/11923uPwbBZFjjGgGUA6NLw09EwE0CqkOc4q9oUmW1yo/edit?usp=sharing"",""นครสวรรค์!J127"")"),0)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IFERROR(__xludf.DUMMYFUNCTION("IMPORTRANGE(""https://docs.google.com/spreadsheets/d/11923uPwbBZFjjGgGUA6NLw09EwE0CqkOc4q9oUmW1yo/edit?usp=sharing"",""นครสวรรค์!J128"")"),0)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IFERROR(__xludf.DUMMYFUNCTION("IMPORTRANGE(""https://docs.google.com/spreadsheets/d/11923uPwbBZFjjGgGUA6NLw09EwE0CqkOc4q9oUmW1yo/edit?usp=sharing"",""นครสวรรค์!I129"")"),0)</f>
        <v>0</v>
      </c>
      <c r="J204" s="292">
        <f ca="1">IFERROR(__xludf.DUMMYFUNCTION("IMPORTRANGE(""https://docs.google.com/spreadsheets/d/11923uPwbBZFjjGgGUA6NLw09EwE0CqkOc4q9oUmW1yo/edit?usp=sharing"",""นครสวรรค์!J129"")"),0)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IFERROR(__xludf.DUMMYFUNCTION("IMPORTRANGE(""https://docs.google.com/spreadsheets/d/11923uPwbBZFjjGgGUA6NLw09EwE0CqkOc4q9oUmW1yo/edit?usp=sharing"",""นครสวรรค์!J134"")"),0)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IFERROR(__xludf.DUMMYFUNCTION("IMPORTRANGE(""https://docs.google.com/spreadsheets/d/11923uPwbBZFjjGgGUA6NLw09EwE0CqkOc4q9oUmW1yo/edit?usp=sharing"",""นครสวรรค์!J135"")"),0)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IFERROR(__xludf.DUMMYFUNCTION("IMPORTRANGE(""https://docs.google.com/spreadsheets/d/11923uPwbBZFjjGgGUA6NLw09EwE0CqkOc4q9oUmW1yo/edit?usp=sharing"",""นครสวรรค์!J136"")"),0)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IFERROR(__xludf.DUMMYFUNCTION("IMPORTRANGE(""https://docs.google.com/spreadsheets/d/11923uPwbBZFjjGgGUA6NLw09EwE0CqkOc4q9oUmW1yo/edit?usp=sharing"",""นครสวรรค์!J137"")"),0)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IFERROR(__xludf.DUMMYFUNCTION("IMPORTRANGE(""https://docs.google.com/spreadsheets/d/11923uPwbBZFjjGgGUA6NLw09EwE0CqkOc4q9oUmW1yo/edit?usp=sharing"",""นครสวรรค์!I138"")"),0)</f>
        <v>0</v>
      </c>
      <c r="J213" s="213">
        <f ca="1">IFERROR(__xludf.DUMMYFUNCTION("IMPORTRANGE(""https://docs.google.com/spreadsheets/d/11923uPwbBZFjjGgGUA6NLw09EwE0CqkOc4q9oUmW1yo/edit?usp=sharing"",""นครสวรรค์!J138"")"),0)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IFERROR(__xludf.DUMMYFUNCTION("IMPORTRANGE(""https://docs.google.com/spreadsheets/d/11923uPwbBZFjjGgGUA6NLw09EwE0CqkOc4q9oUmW1yo/edit?usp=sharing"",""นครสวรรค์!I140"")"),0)</f>
        <v>0</v>
      </c>
      <c r="J215" s="213">
        <f ca="1">IFERROR(__xludf.DUMMYFUNCTION("IMPORTRANGE(""https://docs.google.com/spreadsheets/d/11923uPwbBZFjjGgGUA6NLw09EwE0CqkOc4q9oUmW1yo/edit?usp=sharing"",""นครสวรรค์!J140"")"),0)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IFERROR(__xludf.DUMMYFUNCTION("IMPORTRANGE(""https://docs.google.com/spreadsheets/d/11923uPwbBZFjjGgGUA6NLw09EwE0CqkOc4q9oUmW1yo/edit?usp=sharing"",""นครสวรรค์!I141"")"),0)</f>
        <v>0</v>
      </c>
      <c r="J216" s="213">
        <f ca="1">IFERROR(__xludf.DUMMYFUNCTION("IMPORTRANGE(""https://docs.google.com/spreadsheets/d/11923uPwbBZFjjGgGUA6NLw09EwE0CqkOc4q9oUmW1yo/edit?usp=sharing"",""นครสวรรค์!J141"")"),0)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IFERROR(__xludf.DUMMYFUNCTION("IMPORTRANGE(""https://docs.google.com/spreadsheets/d/11923uPwbBZFjjGgGUA6NLw09EwE0CqkOc4q9oUmW1yo/edit?usp=sharing"",""นครสวรรค์!J142"")"),0)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IFERROR(__xludf.DUMMYFUNCTION("IMPORTRANGE(""https://docs.google.com/spreadsheets/d/11923uPwbBZFjjGgGUA6NLw09EwE0CqkOc4q9oUmW1yo/edit?usp=sharing"",""นครสวรรค์!J143"")"),0)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IFERROR(__xludf.DUMMYFUNCTION("IMPORTRANGE(""https://docs.google.com/spreadsheets/d/11923uPwbBZFjjGgGUA6NLw09EwE0CqkOc4q9oUmW1yo/edit?usp=sharing"",""นครสวรรค์!I144"")"),15)</f>
        <v>15</v>
      </c>
      <c r="J219" s="276">
        <f ca="1">IFERROR(__xludf.DUMMYFUNCTION("IMPORTRANGE(""https://docs.google.com/spreadsheets/d/11923uPwbBZFjjGgGUA6NLw09EwE0CqkOc4q9oUmW1yo/edit?usp=sharing"",""นครสวรรค์!J144"")"),15)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IFERROR(__xludf.DUMMYFUNCTION("IMPORTRANGE(""https://docs.google.com/spreadsheets/d/1Yj_ptqi66GCucihVvJfMjLAmec39IyEx_6qawtMGysU/edit?usp=sharing"",""สบก!BS24"")"),21125)</f>
        <v>21125</v>
      </c>
      <c r="N224" s="177">
        <f ca="1">IFERROR(__xludf.DUMMYFUNCTION("IMPORTRANGE(""https://docs.google.com/spreadsheets/d/1Yj_ptqi66GCucihVvJfMjLAmec39IyEx_6qawtMGysU/edit?usp=sharing"",""สบก!BT24"")"),21125)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IFERROR(__xludf.DUMMYFUNCTION("IMPORTRANGE(""https://docs.google.com/spreadsheets/d/1Yj_ptqi66GCucihVvJfMjLAmec39IyEx_6qawtMGysU/edit?usp=sharing"",""สบก!BO24"")"),0)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IFERROR(__xludf.DUMMYFUNCTION("IMPORTRANGE(""https://docs.google.com/spreadsheets/d/1Yj_ptqi66GCucihVvJfMjLAmec39IyEx_6qawtMGysU/edit?usp=sharing"",""สบก!BP24"")"),21125)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IFERROR(__xludf.DUMMYFUNCTION("IMPORTRANGE(""https://docs.google.com/spreadsheets/d/1Yj_ptqi66GCucihVvJfMjLAmec39IyEx_6qawtMGysU/edit?usp=sharing"",""สบก!BQ24"")"),0)</f>
        <v>0</v>
      </c>
      <c r="M228" s="103"/>
      <c r="N228" s="93">
        <f ca="1">IFERROR(__xludf.DUMMYFUNCTION("IMPORTRANGE(""https://docs.google.com/spreadsheets/d/1Yj_ptqi66GCucihVvJfMjLAmec39IyEx_6qawtMGysU/edit?usp=sharing"",""สบก!BU24"")"),0)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IFERROR(__xludf.DUMMYFUNCTION("IMPORTRANGE(""https://docs.google.com/spreadsheets/d/11923uPwbBZFjjGgGUA6NLw09EwE0CqkOc4q9oUmW1yo/edit?usp=sharing"",""นครสวรรค์!I149"")"),15)</f>
        <v>15</v>
      </c>
      <c r="J229" s="276">
        <f ca="1">IFERROR(__xludf.DUMMYFUNCTION("IMPORTRANGE(""https://docs.google.com/spreadsheets/d/11923uPwbBZFjjGgGUA6NLw09EwE0CqkOc4q9oUmW1yo/edit?usp=sharing"",""นครสวรรค์!J149"")"),15)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IFERROR(__xludf.DUMMYFUNCTION("IMPORTRANGE(""https://docs.google.com/spreadsheets/d/11923uPwbBZFjjGgGUA6NLw09EwE0CqkOc4q9oUmW1yo/edit?usp=sharing"",""นครสวรรค์!J151"")"),0)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IFERROR(__xludf.DUMMYFUNCTION("IMPORTRANGE(""https://docs.google.com/spreadsheets/d/11923uPwbBZFjjGgGUA6NLw09EwE0CqkOc4q9oUmW1yo/edit?usp=sharing"",""นครสวรรค์!J152"")"),1)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IFERROR(__xludf.DUMMYFUNCTION("IMPORTRANGE(""https://docs.google.com/spreadsheets/d/11923uPwbBZFjjGgGUA6NLw09EwE0CqkOc4q9oUmW1yo/edit?usp=sharing"",""นครสวรรค์!J153"")"),1)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IFERROR(__xludf.DUMMYFUNCTION("IMPORTRANGE(""https://docs.google.com/spreadsheets/d/11923uPwbBZFjjGgGUA6NLw09EwE0CqkOc4q9oUmW1yo/edit?usp=sharing"",""นครสวรรค์!J154"")"),1)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IFERROR(__xludf.DUMMYFUNCTION("IMPORTRANGE(""https://docs.google.com/spreadsheets/d/11923uPwbBZFjjGgGUA6NLw09EwE0CqkOc4q9oUmW1yo/edit?usp=sharing"",""นครสวรรค์!I155"")"),15)</f>
        <v>15</v>
      </c>
      <c r="J235" s="198">
        <f ca="1">IFERROR(__xludf.DUMMYFUNCTION("IMPORTRANGE(""https://docs.google.com/spreadsheets/d/11923uPwbBZFjjGgGUA6NLw09EwE0CqkOc4q9oUmW1yo/edit?usp=sharing"",""นครสวรรค์!J155"")"),15)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IFERROR(__xludf.DUMMYFUNCTION("IMPORTRANGE(""https://docs.google.com/spreadsheets/d/11923uPwbBZFjjGgGUA6NLw09EwE0CqkOc4q9oUmW1yo/edit?usp=sharing"",""นครสวรรค์!J156"")"),0)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IFERROR(__xludf.DUMMYFUNCTION("IMPORTRANGE(""https://docs.google.com/spreadsheets/d/11923uPwbBZFjjGgGUA6NLw09EwE0CqkOc4q9oUmW1yo/edit?usp=sharing"",""นครสวรรค์!J157"")"),0)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IFERROR(__xludf.DUMMYFUNCTION("IMPORTRANGE(""https://docs.google.com/spreadsheets/d/11923uPwbBZFjjGgGUA6NLw09EwE0CqkOc4q9oUmW1yo/edit?usp=sharing"",""นครสวรรค์!I158"")"),0)</f>
        <v>0</v>
      </c>
      <c r="J238" s="276">
        <f ca="1">IFERROR(__xludf.DUMMYFUNCTION("IMPORTRANGE(""https://docs.google.com/spreadsheets/d/11923uPwbBZFjjGgGUA6NLw09EwE0CqkOc4q9oUmW1yo/edit?usp=sharing"",""นครสวรรค์!J158"")"),0)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IFERROR(__xludf.DUMMYFUNCTION("IMPORTRANGE(""https://docs.google.com/spreadsheets/d/11923uPwbBZFjjGgGUA6NLw09EwE0CqkOc4q9oUmW1yo/edit?usp=sharing"",""นครสวรรค์!J159"")"),"")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IFERROR(__xludf.DUMMYFUNCTION("IMPORTRANGE(""https://docs.google.com/spreadsheets/d/11923uPwbBZFjjGgGUA6NLw09EwE0CqkOc4q9oUmW1yo/edit?usp=sharing"",""นครสวรรค์!J161"")"),0)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IFERROR(__xludf.DUMMYFUNCTION("IMPORTRANGE(""https://docs.google.com/spreadsheets/d/11923uPwbBZFjjGgGUA6NLw09EwE0CqkOc4q9oUmW1yo/edit?usp=sharing"",""นครสวรรค์!J162"")"),0)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IFERROR(__xludf.DUMMYFUNCTION("IMPORTRANGE(""https://docs.google.com/spreadsheets/d/11923uPwbBZFjjGgGUA6NLw09EwE0CqkOc4q9oUmW1yo/edit?usp=sharing"",""นครสวรรค์!J163"")"),0)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IFERROR(__xludf.DUMMYFUNCTION("IMPORTRANGE(""https://docs.google.com/spreadsheets/d/11923uPwbBZFjjGgGUA6NLw09EwE0CqkOc4q9oUmW1yo/edit?usp=sharing"",""นครสวรรค์!I164"")"),0)</f>
        <v>0</v>
      </c>
      <c r="J244" s="197">
        <f ca="1">IFERROR(__xludf.DUMMYFUNCTION("IMPORTRANGE(""https://docs.google.com/spreadsheets/d/11923uPwbBZFjjGgGUA6NLw09EwE0CqkOc4q9oUmW1yo/edit?usp=sharing"",""นครสวรรค์!J164"")"),0)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IFERROR(__xludf.DUMMYFUNCTION("IMPORTRANGE(""https://docs.google.com/spreadsheets/d/11923uPwbBZFjjGgGUA6NLw09EwE0CqkOc4q9oUmW1yo/edit?usp=sharing"",""นครสวรรค์!J165"")"),0)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IFERROR(__xludf.DUMMYFUNCTION("IMPORTRANGE(""https://docs.google.com/spreadsheets/d/11923uPwbBZFjjGgGUA6NLw09EwE0CqkOc4q9oUmW1yo/edit?usp=sharing"",""นครสวรรค์!J166"")"),0)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IFERROR(__xludf.DUMMYFUNCTION("IMPORTRANGE(""https://docs.google.com/spreadsheets/d/11923uPwbBZFjjGgGUA6NLw09EwE0CqkOc4q9oUmW1yo/edit?usp=sharing"",""นครสวรรค์!I169"")"),25)</f>
        <v>25</v>
      </c>
      <c r="J249" s="324">
        <f ca="1">IFERROR(__xludf.DUMMYFUNCTION("IMPORTRANGE(""https://docs.google.com/spreadsheets/d/11923uPwbBZFjjGgGUA6NLw09EwE0CqkOc4q9oUmW1yo/edit?usp=sharing"",""นครสวรรค์!J169"")"),25)</f>
        <v>25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89000</v>
      </c>
      <c r="M250" s="158">
        <f t="shared" ca="1" si="77"/>
        <v>42500</v>
      </c>
      <c r="N250" s="158">
        <f t="shared" ca="1" si="77"/>
        <v>42144</v>
      </c>
      <c r="O250" s="157">
        <f t="shared" ref="O250:O252" ca="1" si="78">IF(L250&gt;0,N250*100/L250,0)</f>
        <v>47.352808988764046</v>
      </c>
      <c r="P250" s="157">
        <f t="shared" ref="P250:P252" ca="1" si="79">IF(M250&gt;0,N250*100/M250,0)</f>
        <v>99.162352941176465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89000</v>
      </c>
      <c r="M252" s="163">
        <f t="shared" ca="1" si="81"/>
        <v>42500</v>
      </c>
      <c r="N252" s="163">
        <f t="shared" ca="1" si="81"/>
        <v>42144</v>
      </c>
      <c r="O252" s="162">
        <f t="shared" ca="1" si="78"/>
        <v>47.352808988764046</v>
      </c>
      <c r="P252" s="162">
        <f t="shared" ca="1" si="79"/>
        <v>99.162352941176465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89000</v>
      </c>
      <c r="M254" s="176">
        <f ca="1">IFERROR(__xludf.DUMMYFUNCTION("IMPORTRANGE(""https://docs.google.com/spreadsheets/d/1Yj_ptqi66GCucihVvJfMjLAmec39IyEx_6qawtMGysU/edit?usp=sharing"",""สบก!CB24"")"),42500)</f>
        <v>42500</v>
      </c>
      <c r="N254" s="177">
        <f ca="1">IFERROR(__xludf.DUMMYFUNCTION("IMPORTRANGE(""https://docs.google.com/spreadsheets/d/1Yj_ptqi66GCucihVvJfMjLAmec39IyEx_6qawtMGysU/edit?usp=sharing"",""สบก!CC24"")"),42144)</f>
        <v>42144</v>
      </c>
      <c r="O254" s="178">
        <f ca="1">IF(L254&gt;0,N254*100/L254,0)</f>
        <v>47.352808988764046</v>
      </c>
      <c r="P254" s="178">
        <f ca="1">IF(M254&gt;0,N254*100/M254,0)</f>
        <v>99.162352941176465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IFERROR(__xludf.DUMMYFUNCTION("IMPORTRANGE(""https://docs.google.com/spreadsheets/d/1Yj_ptqi66GCucihVvJfMjLAmec39IyEx_6qawtMGysU/edit?usp=sharing"",""สบก!BX24"")"),0)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IFERROR(__xludf.DUMMYFUNCTION("IMPORTRANGE(""https://docs.google.com/spreadsheets/d/1Yj_ptqi66GCucihVvJfMjLAmec39IyEx_6qawtMGysU/edit?usp=sharing"",""สบก!BY24"")"),89000)</f>
        <v>89000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IFERROR(__xludf.DUMMYFUNCTION("IMPORTRANGE(""https://docs.google.com/spreadsheets/d/1Yj_ptqi66GCucihVvJfMjLAmec39IyEx_6qawtMGysU/edit?usp=sharing"",""สบก!BZ24"")"),0)</f>
        <v>0</v>
      </c>
      <c r="M258" s="103"/>
      <c r="N258" s="93">
        <f ca="1">IFERROR(__xludf.DUMMYFUNCTION("IMPORTRANGE(""https://docs.google.com/spreadsheets/d/1Yj_ptqi66GCucihVvJfMjLAmec39IyEx_6qawtMGysU/edit?usp=sharing"",""สบก!CD24"")"),0)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IFERROR(__xludf.DUMMYFUNCTION("IMPORTRANGE(""https://docs.google.com/spreadsheets/d/11923uPwbBZFjjGgGUA6NLw09EwE0CqkOc4q9oUmW1yo/edit?usp=sharing"",""นครสวรรค์!J175"")"),0)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IFERROR(__xludf.DUMMYFUNCTION("IMPORTRANGE(""https://docs.google.com/spreadsheets/d/11923uPwbBZFjjGgGUA6NLw09EwE0CqkOc4q9oUmW1yo/edit?usp=sharing"",""นครสวรรค์!J176"")"),1)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IFERROR(__xludf.DUMMYFUNCTION("IMPORTRANGE(""https://docs.google.com/spreadsheets/d/11923uPwbBZFjjGgGUA6NLw09EwE0CqkOc4q9oUmW1yo/edit?usp=sharing"",""นครสวรรค์!J177"")"),1)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IFERROR(__xludf.DUMMYFUNCTION("IMPORTRANGE(""https://docs.google.com/spreadsheets/d/11923uPwbBZFjjGgGUA6NLw09EwE0CqkOc4q9oUmW1yo/edit?usp=sharing"",""นครสวรรค์!J178"")"),1)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IFERROR(__xludf.DUMMYFUNCTION("IMPORTRANGE(""https://docs.google.com/spreadsheets/d/11923uPwbBZFjjGgGUA6NLw09EwE0CqkOc4q9oUmW1yo/edit?usp=sharing"",""นครสวรรค์!I179"")"),1)</f>
        <v>1</v>
      </c>
      <c r="J264" s="198">
        <f ca="1">IFERROR(__xludf.DUMMYFUNCTION("IMPORTRANGE(""https://docs.google.com/spreadsheets/d/11923uPwbBZFjjGgGUA6NLw09EwE0CqkOc4q9oUmW1yo/edit?usp=sharing"",""นครสวรรค์!J179"")"),2)</f>
        <v>2</v>
      </c>
      <c r="K264" s="171">
        <f t="shared" ref="K264:K267" ca="1" si="82">IF(I264&gt;0,J264*100/I264,0)</f>
        <v>200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IFERROR(__xludf.DUMMYFUNCTION("IMPORTRANGE(""https://docs.google.com/spreadsheets/d/11923uPwbBZFjjGgGUA6NLw09EwE0CqkOc4q9oUmW1yo/edit?usp=sharing"",""นครสวรรค์!I180"")"),25)</f>
        <v>25</v>
      </c>
      <c r="J265" s="198">
        <f ca="1">IFERROR(__xludf.DUMMYFUNCTION("IMPORTRANGE(""https://docs.google.com/spreadsheets/d/11923uPwbBZFjjGgGUA6NLw09EwE0CqkOc4q9oUmW1yo/edit?usp=sharing"",""นครสวรรค์!J180"")"),25)</f>
        <v>25</v>
      </c>
      <c r="K265" s="171">
        <f t="shared" ca="1" si="82"/>
        <v>100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IFERROR(__xludf.DUMMYFUNCTION("IMPORTRANGE(""https://docs.google.com/spreadsheets/d/11923uPwbBZFjjGgGUA6NLw09EwE0CqkOc4q9oUmW1yo/edit?usp=sharing"",""นครสวรรค์!I181"")"),25)</f>
        <v>25</v>
      </c>
      <c r="J266" s="198">
        <f ca="1">IFERROR(__xludf.DUMMYFUNCTION("IMPORTRANGE(""https://docs.google.com/spreadsheets/d/11923uPwbBZFjjGgGUA6NLw09EwE0CqkOc4q9oUmW1yo/edit?usp=sharing"",""นครสวรรค์!J181"")"),0)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IFERROR(__xludf.DUMMYFUNCTION("IMPORTRANGE(""https://docs.google.com/spreadsheets/d/11923uPwbBZFjjGgGUA6NLw09EwE0CqkOc4q9oUmW1yo/edit?usp=sharing"",""นครสวรรค์!I182"")"),1)</f>
        <v>1</v>
      </c>
      <c r="J267" s="198">
        <f ca="1">IFERROR(__xludf.DUMMYFUNCTION("IMPORTRANGE(""https://docs.google.com/spreadsheets/d/11923uPwbBZFjjGgGUA6NLw09EwE0CqkOc4q9oUmW1yo/edit?usp=sharing"",""นครสวรรค์!J182"")"),2)</f>
        <v>2</v>
      </c>
      <c r="K267" s="171">
        <f t="shared" ca="1" si="82"/>
        <v>200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IFERROR(__xludf.DUMMYFUNCTION("IMPORTRANGE(""https://docs.google.com/spreadsheets/d/11923uPwbBZFjjGgGUA6NLw09EwE0CqkOc4q9oUmW1yo/edit?usp=sharing"",""นครสวรรค์!J183"")"),0)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IFERROR(__xludf.DUMMYFUNCTION("IMPORTRANGE(""https://docs.google.com/spreadsheets/d/11923uPwbBZFjjGgGUA6NLw09EwE0CqkOc4q9oUmW1yo/edit?usp=sharing"",""นครสวรรค์!J184"")"),0)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IFERROR(__xludf.DUMMYFUNCTION("IMPORTRANGE(""https://docs.google.com/spreadsheets/d/11923uPwbBZFjjGgGUA6NLw09EwE0CqkOc4q9oUmW1yo/edit?usp=sharing"",""นครสวรรค์!I185"")"),20)</f>
        <v>20</v>
      </c>
      <c r="J270" s="324">
        <f ca="1">IFERROR(__xludf.DUMMYFUNCTION("IMPORTRANGE(""https://docs.google.com/spreadsheets/d/11923uPwbBZFjjGgGUA6NLw09EwE0CqkOc4q9oUmW1yo/edit?usp=sharing"",""นครสวรรค์!J185"")"),20)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183600</v>
      </c>
      <c r="M271" s="158">
        <f t="shared" ca="1" si="83"/>
        <v>93000</v>
      </c>
      <c r="N271" s="158">
        <f t="shared" ca="1" si="83"/>
        <v>74029</v>
      </c>
      <c r="O271" s="157">
        <f t="shared" ref="O271:O273" ca="1" si="84">IF(L271&gt;0,N271*100/L271,0)</f>
        <v>40.320806100217865</v>
      </c>
      <c r="P271" s="157">
        <f t="shared" ref="P271:P273" ca="1" si="85">IF(M271&gt;0,N271*100/M271,0)</f>
        <v>79.601075268817198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183600</v>
      </c>
      <c r="M273" s="163">
        <f t="shared" ca="1" si="87"/>
        <v>93000</v>
      </c>
      <c r="N273" s="163">
        <f t="shared" ca="1" si="87"/>
        <v>74029</v>
      </c>
      <c r="O273" s="162">
        <f t="shared" ca="1" si="84"/>
        <v>40.320806100217865</v>
      </c>
      <c r="P273" s="162">
        <f t="shared" ca="1" si="85"/>
        <v>79.601075268817198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183600</v>
      </c>
      <c r="M275" s="176">
        <f ca="1">IFERROR(__xludf.DUMMYFUNCTION("IMPORTRANGE(""https://docs.google.com/spreadsheets/d/1Yj_ptqi66GCucihVvJfMjLAmec39IyEx_6qawtMGysU/edit?usp=sharing"",""สบก!CK24"")"),93000)</f>
        <v>93000</v>
      </c>
      <c r="N275" s="177">
        <f ca="1">IFERROR(__xludf.DUMMYFUNCTION("IMPORTRANGE(""https://docs.google.com/spreadsheets/d/1Yj_ptqi66GCucihVvJfMjLAmec39IyEx_6qawtMGysU/edit?usp=sharing"",""สบก!CL24"")"),74029)</f>
        <v>74029</v>
      </c>
      <c r="O275" s="178">
        <f ca="1">IF(L275&gt;0,N275*100/L275,0)</f>
        <v>40.320806100217865</v>
      </c>
      <c r="P275" s="178">
        <f ca="1">IF(M275&gt;0,N275*100/M275,0)</f>
        <v>79.601075268817198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IFERROR(__xludf.DUMMYFUNCTION("IMPORTRANGE(""https://docs.google.com/spreadsheets/d/1Yj_ptqi66GCucihVvJfMjLAmec39IyEx_6qawtMGysU/edit?usp=sharing"",""สบก!CG24"")"),0)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IFERROR(__xludf.DUMMYFUNCTION("IMPORTRANGE(""https://docs.google.com/spreadsheets/d/1Yj_ptqi66GCucihVvJfMjLAmec39IyEx_6qawtMGysU/edit?usp=sharing"",""สบก!CH24"")"),183600)</f>
        <v>183600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IFERROR(__xludf.DUMMYFUNCTION("IMPORTRANGE(""https://docs.google.com/spreadsheets/d/1Yj_ptqi66GCucihVvJfMjLAmec39IyEx_6qawtMGysU/edit?usp=sharing"",""สบก!CI24"")"),0)</f>
        <v>0</v>
      </c>
      <c r="M279" s="103"/>
      <c r="N279" s="93">
        <f ca="1">IFERROR(__xludf.DUMMYFUNCTION("IMPORTRANGE(""https://docs.google.com/spreadsheets/d/1Yj_ptqi66GCucihVvJfMjLAmec39IyEx_6qawtMGysU/edit?usp=sharing"",""สบก!CM24"")"),0)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IFERROR(__xludf.DUMMYFUNCTION("IMPORTRANGE(""https://docs.google.com/spreadsheets/d/11923uPwbBZFjjGgGUA6NLw09EwE0CqkOc4q9oUmW1yo/edit?usp=sharing"",""นครสวรรค์!J191"")"),0)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IFERROR(__xludf.DUMMYFUNCTION("IMPORTRANGE(""https://docs.google.com/spreadsheets/d/11923uPwbBZFjjGgGUA6NLw09EwE0CqkOc4q9oUmW1yo/edit?usp=sharing"",""นครสวรรค์!J192"")"),1)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IFERROR(__xludf.DUMMYFUNCTION("IMPORTRANGE(""https://docs.google.com/spreadsheets/d/11923uPwbBZFjjGgGUA6NLw09EwE0CqkOc4q9oUmW1yo/edit?usp=sharing"",""นครสวรรค์!J193"")"),1)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IFERROR(__xludf.DUMMYFUNCTION("IMPORTRANGE(""https://docs.google.com/spreadsheets/d/11923uPwbBZFjjGgGUA6NLw09EwE0CqkOc4q9oUmW1yo/edit?usp=sharing"",""นครสวรรค์!J194"")"),1)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IFERROR(__xludf.DUMMYFUNCTION("IMPORTRANGE(""https://docs.google.com/spreadsheets/d/11923uPwbBZFjjGgGUA6NLw09EwE0CqkOc4q9oUmW1yo/edit?usp=sharing"",""นครสวรรค์!I195"")"),20)</f>
        <v>20</v>
      </c>
      <c r="J285" s="198">
        <f ca="1">IFERROR(__xludf.DUMMYFUNCTION("IMPORTRANGE(""https://docs.google.com/spreadsheets/d/11923uPwbBZFjjGgGUA6NLw09EwE0CqkOc4q9oUmW1yo/edit?usp=sharing"",""นครสวรรค์!J195"")"),20)</f>
        <v>20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IFERROR(__xludf.DUMMYFUNCTION("IMPORTRANGE(""https://docs.google.com/spreadsheets/d/11923uPwbBZFjjGgGUA6NLw09EwE0CqkOc4q9oUmW1yo/edit?usp=sharing"",""นครสวรรค์!J196"")"),0)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IFERROR(__xludf.DUMMYFUNCTION("IMPORTRANGE(""https://docs.google.com/spreadsheets/d/11923uPwbBZFjjGgGUA6NLw09EwE0CqkOc4q9oUmW1yo/edit?usp=sharing"",""นครสวรรค์!J197"")"),0)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IFERROR(__xludf.DUMMYFUNCTION("IMPORTRANGE(""https://docs.google.com/spreadsheets/d/11923uPwbBZFjjGgGUA6NLw09EwE0CqkOc4q9oUmW1yo/edit?usp=sharing"",""นครสวรรค์!I199"")"),0)</f>
        <v>0</v>
      </c>
      <c r="J289" s="324">
        <f ca="1">IFERROR(__xludf.DUMMYFUNCTION("IMPORTRANGE(""https://docs.google.com/spreadsheets/d/11923uPwbBZFjjGgGUA6NLw09EwE0CqkOc4q9oUmW1yo/edit?usp=sharing"",""นครสวรรค์!J199"")"),0)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IFERROR(__xludf.DUMMYFUNCTION("IMPORTRANGE(""https://docs.google.com/spreadsheets/d/1Yj_ptqi66GCucihVvJfMjLAmec39IyEx_6qawtMGysU/edit?usp=sharing"",""สบก!CT24"")"),0)</f>
        <v>0</v>
      </c>
      <c r="N294" s="177">
        <f ca="1">IFERROR(__xludf.DUMMYFUNCTION("IMPORTRANGE(""https://docs.google.com/spreadsheets/d/1Yj_ptqi66GCucihVvJfMjLAmec39IyEx_6qawtMGysU/edit?usp=sharing"",""สบก!CU24"")"),0)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IFERROR(__xludf.DUMMYFUNCTION("IMPORTRANGE(""https://docs.google.com/spreadsheets/d/1Yj_ptqi66GCucihVvJfMjLAmec39IyEx_6qawtMGysU/edit?usp=sharing"",""สบก!CP24"")"),0)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IFERROR(__xludf.DUMMYFUNCTION("IMPORTRANGE(""https://docs.google.com/spreadsheets/d/1Yj_ptqi66GCucihVvJfMjLAmec39IyEx_6qawtMGysU/edit?usp=sharing"",""สบก!CQ24"")"),0)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IFERROR(__xludf.DUMMYFUNCTION("IMPORTRANGE(""https://docs.google.com/spreadsheets/d/1Yj_ptqi66GCucihVvJfMjLAmec39IyEx_6qawtMGysU/edit?usp=sharing"",""สบก!CR24"")"),0)</f>
        <v>0</v>
      </c>
      <c r="M298" s="103"/>
      <c r="N298" s="93">
        <f ca="1">IFERROR(__xludf.DUMMYFUNCTION("IMPORTRANGE(""https://docs.google.com/spreadsheets/d/1Yj_ptqi66GCucihVvJfMjLAmec39IyEx_6qawtMGysU/edit?usp=sharing"",""สบก!CV24"")"),0)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IFERROR(__xludf.DUMMYFUNCTION("IMPORTRANGE(""https://docs.google.com/spreadsheets/d/11923uPwbBZFjjGgGUA6NLw09EwE0CqkOc4q9oUmW1yo/edit?usp=sharing"",""นครสวรรค์!J205"")"),0)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IFERROR(__xludf.DUMMYFUNCTION("IMPORTRANGE(""https://docs.google.com/spreadsheets/d/11923uPwbBZFjjGgGUA6NLw09EwE0CqkOc4q9oUmW1yo/edit?usp=sharing"",""นครสวรรค์!J206"")"),0)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IFERROR(__xludf.DUMMYFUNCTION("IMPORTRANGE(""https://docs.google.com/spreadsheets/d/11923uPwbBZFjjGgGUA6NLw09EwE0CqkOc4q9oUmW1yo/edit?usp=sharing"",""นครสวรรค์!J207"")"),0)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IFERROR(__xludf.DUMMYFUNCTION("IMPORTRANGE(""https://docs.google.com/spreadsheets/d/11923uPwbBZFjjGgGUA6NLw09EwE0CqkOc4q9oUmW1yo/edit?usp=sharing"",""นครสวรรค์!J208"")"),0)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IFERROR(__xludf.DUMMYFUNCTION("IMPORTRANGE(""https://docs.google.com/spreadsheets/d/11923uPwbBZFjjGgGUA6NLw09EwE0CqkOc4q9oUmW1yo/edit?usp=sharing"",""นครสวรรค์!I209"")"),0)</f>
        <v>0</v>
      </c>
      <c r="J304" s="213">
        <f ca="1">IFERROR(__xludf.DUMMYFUNCTION("IMPORTRANGE(""https://docs.google.com/spreadsheets/d/11923uPwbBZFjjGgGUA6NLw09EwE0CqkOc4q9oUmW1yo/edit?usp=sharing"",""นครสวรรค์!J209"")"),0)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IFERROR(__xludf.DUMMYFUNCTION("IMPORTRANGE(""https://docs.google.com/spreadsheets/d/11923uPwbBZFjjGgGUA6NLw09EwE0CqkOc4q9oUmW1yo/edit?usp=sharing"",""นครสวรรค์!I211"")"),0)</f>
        <v>0</v>
      </c>
      <c r="J306" s="213">
        <f ca="1">IFERROR(__xludf.DUMMYFUNCTION("IMPORTRANGE(""https://docs.google.com/spreadsheets/d/11923uPwbBZFjjGgGUA6NLw09EwE0CqkOc4q9oUmW1yo/edit?usp=sharing"",""นครสวรรค์!J211"")"),0)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IFERROR(__xludf.DUMMYFUNCTION("IMPORTRANGE(""https://docs.google.com/spreadsheets/d/11923uPwbBZFjjGgGUA6NLw09EwE0CqkOc4q9oUmW1yo/edit?usp=sharing"",""นครสวรรค์!J212"")"),0)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IFERROR(__xludf.DUMMYFUNCTION("IMPORTRANGE(""https://docs.google.com/spreadsheets/d/11923uPwbBZFjjGgGUA6NLw09EwE0CqkOc4q9oUmW1yo/edit?usp=sharing"",""นครสวรรค์!J213"")"),0)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IFERROR(__xludf.DUMMYFUNCTION("IMPORTRANGE(""https://docs.google.com/spreadsheets/d/11923uPwbBZFjjGgGUA6NLw09EwE0CqkOc4q9oUmW1yo/edit?usp=sharing"",""นครสวรรค์!I214"")"),0)</f>
        <v>0</v>
      </c>
      <c r="J309" s="341">
        <f ca="1">IFERROR(__xludf.DUMMYFUNCTION("IMPORTRANGE(""https://docs.google.com/spreadsheets/d/11923uPwbBZFjjGgGUA6NLw09EwE0CqkOc4q9oUmW1yo/edit?usp=sharing"",""นครสวรรค์!J214"")"),0)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IFERROR(__xludf.DUMMYFUNCTION("IMPORTRANGE(""https://docs.google.com/spreadsheets/d/1Yj_ptqi66GCucihVvJfMjLAmec39IyEx_6qawtMGysU/edit?usp=sharing"",""สบก!DC24"")"),0)</f>
        <v>0</v>
      </c>
      <c r="N314" s="177">
        <f ca="1">IFERROR(__xludf.DUMMYFUNCTION("IMPORTRANGE(""https://docs.google.com/spreadsheets/d/1Yj_ptqi66GCucihVvJfMjLAmec39IyEx_6qawtMGysU/edit?usp=sharing"",""สบก!DD24"")"),0)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IFERROR(__xludf.DUMMYFUNCTION("IMPORTRANGE(""https://docs.google.com/spreadsheets/d/1Yj_ptqi66GCucihVvJfMjLAmec39IyEx_6qawtMGysU/edit?usp=sharing"",""สบก!CY24"")"),0)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IFERROR(__xludf.DUMMYFUNCTION("IMPORTRANGE(""https://docs.google.com/spreadsheets/d/1Yj_ptqi66GCucihVvJfMjLAmec39IyEx_6qawtMGysU/edit?usp=sharing"",""สบก!CZ24"")"),0)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IFERROR(__xludf.DUMMYFUNCTION("IMPORTRANGE(""https://docs.google.com/spreadsheets/d/1Yj_ptqi66GCucihVvJfMjLAmec39IyEx_6qawtMGysU/edit?usp=sharing"",""สบก!DA24"")"),0)</f>
        <v>0</v>
      </c>
      <c r="M318" s="103"/>
      <c r="N318" s="93">
        <f ca="1">IFERROR(__xludf.DUMMYFUNCTION("IMPORTRANGE(""https://docs.google.com/spreadsheets/d/1Yj_ptqi66GCucihVvJfMjLAmec39IyEx_6qawtMGysU/edit?usp=sharing"",""สบก!DE24"")"),0)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IFERROR(__xludf.DUMMYFUNCTION("IMPORTRANGE(""https://docs.google.com/spreadsheets/d/11923uPwbBZFjjGgGUA6NLw09EwE0CqkOc4q9oUmW1yo/edit?usp=sharing"",""นครสวรรค์!J220"")"),0)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IFERROR(__xludf.DUMMYFUNCTION("IMPORTRANGE(""https://docs.google.com/spreadsheets/d/11923uPwbBZFjjGgGUA6NLw09EwE0CqkOc4q9oUmW1yo/edit?usp=sharing"",""นครสวรรค์!J221"")"),0)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IFERROR(__xludf.DUMMYFUNCTION("IMPORTRANGE(""https://docs.google.com/spreadsheets/d/11923uPwbBZFjjGgGUA6NLw09EwE0CqkOc4q9oUmW1yo/edit?usp=sharing"",""นครสวรรค์!J222"")"),0)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IFERROR(__xludf.DUMMYFUNCTION("IMPORTRANGE(""https://docs.google.com/spreadsheets/d/11923uPwbBZFjjGgGUA6NLw09EwE0CqkOc4q9oUmW1yo/edit?usp=sharing"",""นครสวรรค์!J223"")"),0)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IFERROR(__xludf.DUMMYFUNCTION("IMPORTRANGE(""https://docs.google.com/spreadsheets/d/11923uPwbBZFjjGgGUA6NLw09EwE0CqkOc4q9oUmW1yo/edit?usp=sharing"",""นครสวรรค์!I224"")"),0)</f>
        <v>0</v>
      </c>
      <c r="J324" s="213">
        <f ca="1">IFERROR(__xludf.DUMMYFUNCTION("IMPORTRANGE(""https://docs.google.com/spreadsheets/d/11923uPwbBZFjjGgGUA6NLw09EwE0CqkOc4q9oUmW1yo/edit?usp=sharing"",""นครสวรรค์!J224"")"),0)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IFERROR(__xludf.DUMMYFUNCTION("IMPORTRANGE(""https://docs.google.com/spreadsheets/d/11923uPwbBZFjjGgGUA6NLw09EwE0CqkOc4q9oUmW1yo/edit?usp=sharing"",""นครสวรรค์!J225"")"),0)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IFERROR(__xludf.DUMMYFUNCTION("IMPORTRANGE(""https://docs.google.com/spreadsheets/d/11923uPwbBZFjjGgGUA6NLw09EwE0CqkOc4q9oUmW1yo/edit?usp=sharing"",""นครสวรรค์!J226"")"),0)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IFERROR(__xludf.DUMMYFUNCTION("IMPORTRANGE(""https://docs.google.com/spreadsheets/d/11923uPwbBZFjjGgGUA6NLw09EwE0CqkOc4q9oUmW1yo/edit?usp=sharing"",""นครสวรรค์!I228"")"),430)</f>
        <v>430</v>
      </c>
      <c r="J328" s="347">
        <f ca="1">IFERROR(__xludf.DUMMYFUNCTION("IMPORTRANGE(""https://docs.google.com/spreadsheets/d/11923uPwbBZFjjGgGUA6NLw09EwE0CqkOc4q9oUmW1yo/edit?usp=sharing"",""นครสวรรค์!J228"")"),25)</f>
        <v>25</v>
      </c>
      <c r="K328" s="325">
        <f ca="1">IF(I328&gt;0,J328*100/I328,0)</f>
        <v>5.8139534883720927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1266950</v>
      </c>
      <c r="M329" s="158">
        <f t="shared" ca="1" si="98"/>
        <v>627380</v>
      </c>
      <c r="N329" s="158">
        <f t="shared" ca="1" si="98"/>
        <v>446599</v>
      </c>
      <c r="O329" s="157">
        <f t="shared" ref="O329:O331" ca="1" si="99">IF(L329&gt;0,N329*100/L329,0)</f>
        <v>35.249930936501045</v>
      </c>
      <c r="P329" s="157">
        <f t="shared" ref="P329:P331" ca="1" si="100">IF(M329&gt;0,N329*100/M329,0)</f>
        <v>71.184768401925467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1266950</v>
      </c>
      <c r="M331" s="163">
        <f t="shared" ca="1" si="102"/>
        <v>627380</v>
      </c>
      <c r="N331" s="163">
        <f t="shared" ca="1" si="102"/>
        <v>446599</v>
      </c>
      <c r="O331" s="162">
        <f t="shared" ca="1" si="99"/>
        <v>35.249930936501045</v>
      </c>
      <c r="P331" s="162">
        <f t="shared" ca="1" si="100"/>
        <v>71.184768401925467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1119950</v>
      </c>
      <c r="M333" s="176">
        <f ca="1">IFERROR(__xludf.DUMMYFUNCTION("IMPORTRANGE(""https://docs.google.com/spreadsheets/d/1Yj_ptqi66GCucihVvJfMjLAmec39IyEx_6qawtMGysU/edit?usp=sharing"",""สบก!DL24"")"),627380)</f>
        <v>627380</v>
      </c>
      <c r="N333" s="177">
        <f ca="1">IFERROR(__xludf.DUMMYFUNCTION("IMPORTRANGE(""https://docs.google.com/spreadsheets/d/1Yj_ptqi66GCucihVvJfMjLAmec39IyEx_6qawtMGysU/edit?usp=sharing"",""สบก!DM24"")"),341599)</f>
        <v>341599</v>
      </c>
      <c r="O333" s="178">
        <f ca="1">IF(L333&gt;0,N333*100/L333,0)</f>
        <v>30.501272378231171</v>
      </c>
      <c r="P333" s="178">
        <f ca="1">IF(M333&gt;0,N333*100/M333,0)</f>
        <v>54.448500111575122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IFERROR(__xludf.DUMMYFUNCTION("IMPORTRANGE(""https://docs.google.com/spreadsheets/d/1Yj_ptqi66GCucihVvJfMjLAmec39IyEx_6qawtMGysU/edit?usp=sharing"",""สบก!DH24"")"),529200)</f>
        <v>529200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IFERROR(__xludf.DUMMYFUNCTION("IMPORTRANGE(""https://docs.google.com/spreadsheets/d/1Yj_ptqi66GCucihVvJfMjLAmec39IyEx_6qawtMGysU/edit?usp=sharing"",""สบก!DI24"")"),590750)</f>
        <v>590750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IFERROR(__xludf.DUMMYFUNCTION("IMPORTRANGE(""https://docs.google.com/spreadsheets/d/1Yj_ptqi66GCucihVvJfMjLAmec39IyEx_6qawtMGysU/edit?usp=sharing"",""สบก!DJ24"")"),147000)</f>
        <v>147000</v>
      </c>
      <c r="M337" s="103"/>
      <c r="N337" s="93">
        <f ca="1">IFERROR(__xludf.DUMMYFUNCTION("IMPORTRANGE(""https://docs.google.com/spreadsheets/d/1Yj_ptqi66GCucihVvJfMjLAmec39IyEx_6qawtMGysU/edit?usp=sharing"",""สบก!DN24"")"),105000)</f>
        <v>105000</v>
      </c>
      <c r="O337" s="103">
        <f ca="1">IF(L337&gt;0,N337*100/L337,0)</f>
        <v>71.428571428571431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IFERROR(__xludf.DUMMYFUNCTION("IMPORTRANGE(""https://docs.google.com/spreadsheets/d/11923uPwbBZFjjGgGUA6NLw09EwE0CqkOc4q9oUmW1yo/edit?usp=sharing"",""นครสวรรค์!I234"")"),0)</f>
        <v>0</v>
      </c>
      <c r="J339" s="197">
        <f ca="1">IFERROR(__xludf.DUMMYFUNCTION("IMPORTRANGE(""https://docs.google.com/spreadsheets/d/11923uPwbBZFjjGgGUA6NLw09EwE0CqkOc4q9oUmW1yo/edit?usp=sharing"",""นครสวรรค์!J234"")"),208)</f>
        <v>208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IFERROR(__xludf.DUMMYFUNCTION("IMPORTRANGE(""https://docs.google.com/spreadsheets/d/11923uPwbBZFjjGgGUA6NLw09EwE0CqkOc4q9oUmW1yo/edit?usp=sharing"",""นครสวรรค์!I235"")"),4200)</f>
        <v>4200</v>
      </c>
      <c r="J340" s="197">
        <f ca="1">IFERROR(__xludf.DUMMYFUNCTION("IMPORTRANGE(""https://docs.google.com/spreadsheets/d/11923uPwbBZFjjGgGUA6NLw09EwE0CqkOc4q9oUmW1yo/edit?usp=sharing"",""นครสวรรค์!J235"")"),2008.8)</f>
        <v>2008.8</v>
      </c>
      <c r="K340" s="350">
        <f t="shared" ca="1" si="103"/>
        <v>47.828571428571429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IFERROR(__xludf.DUMMYFUNCTION("IMPORTRANGE(""https://docs.google.com/spreadsheets/d/11923uPwbBZFjjGgGUA6NLw09EwE0CqkOc4q9oUmW1yo/edit?usp=sharing"",""นครสวรรค์!I236"")"),430)</f>
        <v>430</v>
      </c>
      <c r="J341" s="197">
        <f ca="1">IFERROR(__xludf.DUMMYFUNCTION("IMPORTRANGE(""https://docs.google.com/spreadsheets/d/11923uPwbBZFjjGgGUA6NLw09EwE0CqkOc4q9oUmW1yo/edit?usp=sharing"",""นครสวรรค์!J236"")"),77)</f>
        <v>77</v>
      </c>
      <c r="K341" s="350">
        <f t="shared" ca="1" si="103"/>
        <v>17.906976744186046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IFERROR(__xludf.DUMMYFUNCTION("IMPORTRANGE(""https://docs.google.com/spreadsheets/d/11923uPwbBZFjjGgGUA6NLw09EwE0CqkOc4q9oUmW1yo/edit?usp=sharing"",""นครสวรรค์!I237"")"),0)</f>
        <v>0</v>
      </c>
      <c r="J342" s="197">
        <f ca="1">IFERROR(__xludf.DUMMYFUNCTION("IMPORTRANGE(""https://docs.google.com/spreadsheets/d/11923uPwbBZFjjGgGUA6NLw09EwE0CqkOc4q9oUmW1yo/edit?usp=sharing"",""นครสวรรค์!J237"")"),929.49)</f>
        <v>929.49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IFERROR(__xludf.DUMMYFUNCTION("IMPORTRANGE(""https://docs.google.com/spreadsheets/d/11923uPwbBZFjjGgGUA6NLw09EwE0CqkOc4q9oUmW1yo/edit?usp=sharing"",""นครสวรรค์!I238"")"),430)</f>
        <v>430</v>
      </c>
      <c r="J343" s="197">
        <f ca="1">IFERROR(__xludf.DUMMYFUNCTION("IMPORTRANGE(""https://docs.google.com/spreadsheets/d/11923uPwbBZFjjGgGUA6NLw09EwE0CqkOc4q9oUmW1yo/edit?usp=sharing"",""นครสวรรค์!J238"")"),0)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IFERROR(__xludf.DUMMYFUNCTION("IMPORTRANGE(""https://docs.google.com/spreadsheets/d/11923uPwbBZFjjGgGUA6NLw09EwE0CqkOc4q9oUmW1yo/edit?usp=sharing"",""นครสวรรค์!I239"")"),0)</f>
        <v>0</v>
      </c>
      <c r="J344" s="197">
        <f ca="1">IFERROR(__xludf.DUMMYFUNCTION("IMPORTRANGE(""https://docs.google.com/spreadsheets/d/11923uPwbBZFjjGgGUA6NLw09EwE0CqkOc4q9oUmW1yo/edit?usp=sharing"",""นครสวรรค์!J239"")"),0)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IFERROR(__xludf.DUMMYFUNCTION("IMPORTRANGE(""https://docs.google.com/spreadsheets/d/11923uPwbBZFjjGgGUA6NLw09EwE0CqkOc4q9oUmW1yo/edit?usp=sharing"",""นครสวรรค์!I240"")"),430)</f>
        <v>430</v>
      </c>
      <c r="J345" s="197">
        <f ca="1">IFERROR(__xludf.DUMMYFUNCTION("IMPORTRANGE(""https://docs.google.com/spreadsheets/d/11923uPwbBZFjjGgGUA6NLw09EwE0CqkOc4q9oUmW1yo/edit?usp=sharing"",""นครสวรรค์!J240"")"),25)</f>
        <v>25</v>
      </c>
      <c r="K345" s="350">
        <f t="shared" ca="1" si="103"/>
        <v>5.8139534883720927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IFERROR(__xludf.DUMMYFUNCTION("IMPORTRANGE(""https://docs.google.com/spreadsheets/d/11923uPwbBZFjjGgGUA6NLw09EwE0CqkOc4q9oUmW1yo/edit?usp=sharing"",""นครสวรรค์!I241"")"),0)</f>
        <v>0</v>
      </c>
      <c r="J346" s="197">
        <f ca="1">IFERROR(__xludf.DUMMYFUNCTION("IMPORTRANGE(""https://docs.google.com/spreadsheets/d/11923uPwbBZFjjGgGUA6NLw09EwE0CqkOc4q9oUmW1yo/edit?usp=sharing"",""นครสวรรค์!J241"")"),485.88)</f>
        <v>485.88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IFERROR(__xludf.DUMMYFUNCTION("IMPORTRANGE(""https://docs.google.com/spreadsheets/d/11923uPwbBZFjjGgGUA6NLw09EwE0CqkOc4q9oUmW1yo/edit?usp=sharing"",""นครสวรรค์!L242"")"),2075413)</f>
        <v>2075413</v>
      </c>
      <c r="M347" s="366"/>
      <c r="N347" s="366">
        <f ca="1">IFERROR(__xludf.DUMMYFUNCTION("IMPORTRANGE(""https://docs.google.com/spreadsheets/d/11923uPwbBZFjjGgGUA6NLw09EwE0CqkOc4q9oUmW1yo/edit?usp=sharing"",""นครสวรรค์!M242"")"),428942)</f>
        <v>428942</v>
      </c>
      <c r="O347" s="366">
        <f ca="1">+IF(L347&gt;0,N347*100/L347,0)</f>
        <v>20.667789977223812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IFERROR(__xludf.DUMMYFUNCTION("IMPORTRANGE(""https://docs.google.com/spreadsheets/d/11923uPwbBZFjjGgGUA6NLw09EwE0CqkOc4q9oUmW1yo/edit?usp=sharing"",""นครสวรรค์!I244"")"),110)</f>
        <v>110</v>
      </c>
      <c r="J349" s="379">
        <f ca="1">IFERROR(__xludf.DUMMYFUNCTION("IMPORTRANGE(""https://docs.google.com/spreadsheets/d/11923uPwbBZFjjGgGUA6NLw09EwE0CqkOc4q9oUmW1yo/edit?usp=sharing"",""นครสวรรค์!J244"")"),40)</f>
        <v>40</v>
      </c>
      <c r="K349" s="380">
        <f t="shared" ref="K349:K350" ca="1" si="104">IF(I349&gt;0,J349*100/I349,0)</f>
        <v>36.363636363636367</v>
      </c>
      <c r="L349" s="381">
        <f ca="1">IFERROR(__xludf.DUMMYFUNCTION("IMPORTRANGE(""https://docs.google.com/spreadsheets/d/11923uPwbBZFjjGgGUA6NLw09EwE0CqkOc4q9oUmW1yo/edit?usp=sharing"",""นครสวรรค์!L244"")"),354030)</f>
        <v>354030</v>
      </c>
      <c r="M349" s="381"/>
      <c r="N349" s="381">
        <f ca="1">IFERROR(__xludf.DUMMYFUNCTION("IMPORTRANGE(""https://docs.google.com/spreadsheets/d/11923uPwbBZFjjGgGUA6NLw09EwE0CqkOc4q9oUmW1yo/edit?usp=sharing"",""นครสวรรค์!M244"")"),145385)</f>
        <v>145385</v>
      </c>
      <c r="O349" s="381">
        <f ca="1">+IF(L349&gt;0,N349*100/L349,0)</f>
        <v>41.065728893031661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IFERROR(__xludf.DUMMYFUNCTION("IMPORTRANGE(""https://docs.google.com/spreadsheets/d/11923uPwbBZFjjGgGUA6NLw09EwE0CqkOc4q9oUmW1yo/edit?usp=sharing"",""นครสวรรค์!I245"")"),55)</f>
        <v>55</v>
      </c>
      <c r="J350" s="379">
        <f ca="1">IFERROR(__xludf.DUMMYFUNCTION("IMPORTRANGE(""https://docs.google.com/spreadsheets/d/11923uPwbBZFjjGgGUA6NLw09EwE0CqkOc4q9oUmW1yo/edit?usp=sharing"",""นครสวรรค์!J245"")"),55)</f>
        <v>55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IFERROR(__xludf.DUMMYFUNCTION("IMPORTRANGE(""https://docs.google.com/spreadsheets/d/11923uPwbBZFjjGgGUA6NLw09EwE0CqkOc4q9oUmW1yo/edit?usp=sharing"",""นครสวรรค์!L246"")"),0)</f>
        <v>0</v>
      </c>
      <c r="M351" s="172"/>
      <c r="N351" s="172">
        <f ca="1">IFERROR(__xludf.DUMMYFUNCTION("IMPORTRANGE(""https://docs.google.com/spreadsheets/d/11923uPwbBZFjjGgGUA6NLw09EwE0CqkOc4q9oUmW1yo/edit?usp=sharing"",""นครสวรรค์!M246"")"),0)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IFERROR(__xludf.DUMMYFUNCTION("IMPORTRANGE(""https://docs.google.com/spreadsheets/d/11923uPwbBZFjjGgGUA6NLw09EwE0CqkOc4q9oUmW1yo/edit?usp=sharing"",""นครสวรรค์!L247"")"),354030)</f>
        <v>354030</v>
      </c>
      <c r="M352" s="173"/>
      <c r="N352" s="172">
        <f ca="1">IFERROR(__xludf.DUMMYFUNCTION("IMPORTRANGE(""https://docs.google.com/spreadsheets/d/11923uPwbBZFjjGgGUA6NLw09EwE0CqkOc4q9oUmW1yo/edit?usp=sharing"",""นครสวรรค์!M247"")"),145385)</f>
        <v>145385</v>
      </c>
      <c r="O352" s="173">
        <f t="shared" ca="1" si="105"/>
        <v>41.065728893031661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IFERROR(__xludf.DUMMYFUNCTION("IMPORTRANGE(""https://docs.google.com/spreadsheets/d/11923uPwbBZFjjGgGUA6NLw09EwE0CqkOc4q9oUmW1yo/edit?usp=sharing"",""นครสวรรค์!L248"")"),0)</f>
        <v>0</v>
      </c>
      <c r="M353" s="178"/>
      <c r="N353" s="178">
        <f ca="1">IFERROR(__xludf.DUMMYFUNCTION("IMPORTRANGE(""https://docs.google.com/spreadsheets/d/11923uPwbBZFjjGgGUA6NLw09EwE0CqkOc4q9oUmW1yo/edit?usp=sharing"",""นครสวรรค์!M248"")"),0)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IFERROR(__xludf.DUMMYFUNCTION("IMPORTRANGE(""https://docs.google.com/spreadsheets/d/11923uPwbBZFjjGgGUA6NLw09EwE0CqkOc4q9oUmW1yo/edit?usp=sharing"",""นครสวรรค์!L249"")"),354030)</f>
        <v>354030</v>
      </c>
      <c r="M354" s="178"/>
      <c r="N354" s="175">
        <f ca="1">IFERROR(__xludf.DUMMYFUNCTION("IMPORTRANGE(""https://docs.google.com/spreadsheets/d/11923uPwbBZFjjGgGUA6NLw09EwE0CqkOc4q9oUmW1yo/edit?usp=sharing"",""นครสวรรค์!M249"")"),145385)</f>
        <v>145385</v>
      </c>
      <c r="O354" s="178">
        <f t="shared" ca="1" si="105"/>
        <v>41.065728893031661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IFERROR(__xludf.DUMMYFUNCTION("IMPORTRANGE(""https://docs.google.com/spreadsheets/d/11923uPwbBZFjjGgGUA6NLw09EwE0CqkOc4q9oUmW1yo/edit?usp=sharing"",""นครสวรรค์!M250"")"),71585)</f>
        <v>71585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IFERROR(__xludf.DUMMYFUNCTION("IMPORTRANGE(""https://docs.google.com/spreadsheets/d/11923uPwbBZFjjGgGUA6NLw09EwE0CqkOc4q9oUmW1yo/edit?usp=sharing"",""นครสวรรค์!M251"")"),35400)</f>
        <v>35400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IFERROR(__xludf.DUMMYFUNCTION("IMPORTRANGE(""https://docs.google.com/spreadsheets/d/11923uPwbBZFjjGgGUA6NLw09EwE0CqkOc4q9oUmW1yo/edit?usp=sharing"",""นครสวรรค์!M252"")"),33000)</f>
        <v>33000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IFERROR(__xludf.DUMMYFUNCTION("IMPORTRANGE(""https://docs.google.com/spreadsheets/d/11923uPwbBZFjjGgGUA6NLw09EwE0CqkOc4q9oUmW1yo/edit?usp=sharing"",""นครสวรรค์!M253"")"),5400)</f>
        <v>5400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IFERROR(__xludf.DUMMYFUNCTION("IMPORTRANGE(""https://docs.google.com/spreadsheets/d/11923uPwbBZFjjGgGUA6NLw09EwE0CqkOc4q9oUmW1yo/edit?usp=sharing"",""นครสวรรค์!J255"")"),0)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IFERROR(__xludf.DUMMYFUNCTION("IMPORTRANGE(""https://docs.google.com/spreadsheets/d/11923uPwbBZFjjGgGUA6NLw09EwE0CqkOc4q9oUmW1yo/edit?usp=sharing"",""นครสวรรค์!J256"")"),1)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IFERROR(__xludf.DUMMYFUNCTION("IMPORTRANGE(""https://docs.google.com/spreadsheets/d/11923uPwbBZFjjGgGUA6NLw09EwE0CqkOc4q9oUmW1yo/edit?usp=sharing"",""นครสวรรค์!J257"")"),1)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IFERROR(__xludf.DUMMYFUNCTION("IMPORTRANGE(""https://docs.google.com/spreadsheets/d/11923uPwbBZFjjGgGUA6NLw09EwE0CqkOc4q9oUmW1yo/edit?usp=sharing"",""นครสวรรค์!J258"")"),1)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IFERROR(__xludf.DUMMYFUNCTION("IMPORTRANGE(""https://docs.google.com/spreadsheets/d/11923uPwbBZFjjGgGUA6NLw09EwE0CqkOc4q9oUmW1yo/edit?usp=sharing"",""นครสวรรค์!J166"")"),0)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IFERROR(__xludf.DUMMYFUNCTION("IMPORTRANGE(""https://docs.google.com/spreadsheets/d/11923uPwbBZFjjGgGUA6NLw09EwE0CqkOc4q9oUmW1yo/edit?usp=sharing"",""นครสวรรค์!J166"")"),0)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IFERROR(__xludf.DUMMYFUNCTION("IMPORTRANGE(""https://docs.google.com/spreadsheets/d/11923uPwbBZFjjGgGUA6NLw09EwE0CqkOc4q9oUmW1yo/edit?usp=sharing"",""นครสวรรค์!J166"")"),0)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IFERROR(__xludf.DUMMYFUNCTION("IMPORTRANGE(""https://docs.google.com/spreadsheets/d/11923uPwbBZFjjGgGUA6NLw09EwE0CqkOc4q9oUmW1yo/edit?usp=sharing"",""นครสวรรค์!J166"")"),0)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IFERROR(__xludf.DUMMYFUNCTION("IMPORTRANGE(""https://docs.google.com/spreadsheets/d/11923uPwbBZFjjGgGUA6NLw09EwE0CqkOc4q9oUmW1yo/edit?usp=sharing"",""นครสวรรค์!I263"")"),55)</f>
        <v>55</v>
      </c>
      <c r="J368" s="197">
        <f ca="1">IFERROR(__xludf.DUMMYFUNCTION("IMPORTRANGE(""https://docs.google.com/spreadsheets/d/11923uPwbBZFjjGgGUA6NLw09EwE0CqkOc4q9oUmW1yo/edit?usp=sharing"",""นครสวรรค์!J263"")"),55)</f>
        <v>55</v>
      </c>
      <c r="K368" s="171">
        <f t="shared" ca="1" si="106"/>
        <v>100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IFERROR(__xludf.DUMMYFUNCTION("IMPORTRANGE(""https://docs.google.com/spreadsheets/d/11923uPwbBZFjjGgGUA6NLw09EwE0CqkOc4q9oUmW1yo/edit?usp=sharing"",""นครสวรรค์!I164"")"),0)</f>
        <v>0</v>
      </c>
      <c r="J369" s="213">
        <f ca="1">IFERROR(__xludf.DUMMYFUNCTION("IMPORTRANGE(""https://docs.google.com/spreadsheets/d/11923uPwbBZFjjGgGUA6NLw09EwE0CqkOc4q9oUmW1yo/edit?usp=sharing"",""นครสวรรค์!J164"")"),0)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IFERROR(__xludf.DUMMYFUNCTION("IMPORTRANGE(""https://docs.google.com/spreadsheets/d/11923uPwbBZFjjGgGUA6NLw09EwE0CqkOc4q9oUmW1yo/edit?usp=sharing"",""นครสวรรค์!I265"")"),55)</f>
        <v>55</v>
      </c>
      <c r="J370" s="213">
        <f ca="1">IFERROR(__xludf.DUMMYFUNCTION("IMPORTRANGE(""https://docs.google.com/spreadsheets/d/11923uPwbBZFjjGgGUA6NLw09EwE0CqkOc4q9oUmW1yo/edit?usp=sharing"",""นครสวรรค์!J265"")"),55)</f>
        <v>55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IFERROR(__xludf.DUMMYFUNCTION("IMPORTRANGE(""https://docs.google.com/spreadsheets/d/11923uPwbBZFjjGgGUA6NLw09EwE0CqkOc4q9oUmW1yo/edit?usp=sharing"",""นครสวรรค์!I164"")"),0)</f>
        <v>0</v>
      </c>
      <c r="J371" s="198">
        <f ca="1">IFERROR(__xludf.DUMMYFUNCTION("IMPORTRANGE(""https://docs.google.com/spreadsheets/d/11923uPwbBZFjjGgGUA6NLw09EwE0CqkOc4q9oUmW1yo/edit?usp=sharing"",""นครสวรรค์!J164"")"),0)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IFERROR(__xludf.DUMMYFUNCTION("IMPORTRANGE(""https://docs.google.com/spreadsheets/d/11923uPwbBZFjjGgGUA6NLw09EwE0CqkOc4q9oUmW1yo/edit?usp=sharing"",""นครสวรรค์!I267"")"),55)</f>
        <v>55</v>
      </c>
      <c r="J372" s="198">
        <f ca="1">IFERROR(__xludf.DUMMYFUNCTION("IMPORTRANGE(""https://docs.google.com/spreadsheets/d/11923uPwbBZFjjGgGUA6NLw09EwE0CqkOc4q9oUmW1yo/edit?usp=sharing"",""นครสวรรค์!J267"")"),55)</f>
        <v>55</v>
      </c>
      <c r="K372" s="171">
        <f t="shared" ca="1" si="106"/>
        <v>100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IFERROR(__xludf.DUMMYFUNCTION("IMPORTRANGE(""https://docs.google.com/spreadsheets/d/11923uPwbBZFjjGgGUA6NLw09EwE0CqkOc4q9oUmW1yo/edit?usp=sharing"",""นครสวรรค์!I164"")"),0)</f>
        <v>0</v>
      </c>
      <c r="J373" s="213">
        <f ca="1">IFERROR(__xludf.DUMMYFUNCTION("IMPORTRANGE(""https://docs.google.com/spreadsheets/d/11923uPwbBZFjjGgGUA6NLw09EwE0CqkOc4q9oUmW1yo/edit?usp=sharing"",""นครสวรรค์!J164"")"),0)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IFERROR(__xludf.DUMMYFUNCTION("IMPORTRANGE(""https://docs.google.com/spreadsheets/d/11923uPwbBZFjjGgGUA6NLw09EwE0CqkOc4q9oUmW1yo/edit?usp=sharing"",""นครสวรรค์!I164"")"),0)</f>
        <v>0</v>
      </c>
      <c r="J374" s="197">
        <f ca="1">IFERROR(__xludf.DUMMYFUNCTION("IMPORTRANGE(""https://docs.google.com/spreadsheets/d/11923uPwbBZFjjGgGUA6NLw09EwE0CqkOc4q9oUmW1yo/edit?usp=sharing"",""นครสวรรค์!J164"")"),0)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IFERROR(__xludf.DUMMYFUNCTION("IMPORTRANGE(""https://docs.google.com/spreadsheets/d/11923uPwbBZFjjGgGUA6NLw09EwE0CqkOc4q9oUmW1yo/edit?usp=sharing"",""นครสวรรค์!I270"")"),110)</f>
        <v>110</v>
      </c>
      <c r="J375" s="197">
        <f ca="1">IFERROR(__xludf.DUMMYFUNCTION("IMPORTRANGE(""https://docs.google.com/spreadsheets/d/11923uPwbBZFjjGgGUA6NLw09EwE0CqkOc4q9oUmW1yo/edit?usp=sharing"",""นครสวรรค์!J270"")"),40)</f>
        <v>40</v>
      </c>
      <c r="K375" s="171">
        <f t="shared" ref="K375:K377" ca="1" si="107">IF(I375&gt;0,J375*100/I375,0)</f>
        <v>36.363636363636367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IFERROR(__xludf.DUMMYFUNCTION("IMPORTRANGE(""https://docs.google.com/spreadsheets/d/11923uPwbBZFjjGgGUA6NLw09EwE0CqkOc4q9oUmW1yo/edit?usp=sharing"",""นครสวรรค์!I271"")"),40)</f>
        <v>40</v>
      </c>
      <c r="J376" s="198">
        <f ca="1">IFERROR(__xludf.DUMMYFUNCTION("IMPORTRANGE(""https://docs.google.com/spreadsheets/d/11923uPwbBZFjjGgGUA6NLw09EwE0CqkOc4q9oUmW1yo/edit?usp=sharing"",""นครสวรรค์!J271"")"),40)</f>
        <v>40</v>
      </c>
      <c r="K376" s="171">
        <f t="shared" ca="1" si="107"/>
        <v>100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IFERROR(__xludf.DUMMYFUNCTION("IMPORTRANGE(""https://docs.google.com/spreadsheets/d/11923uPwbBZFjjGgGUA6NLw09EwE0CqkOc4q9oUmW1yo/edit?usp=sharing"",""นครสวรรค์!I272"")"),70)</f>
        <v>70</v>
      </c>
      <c r="J377" s="213">
        <f ca="1">IFERROR(__xludf.DUMMYFUNCTION("IMPORTRANGE(""https://docs.google.com/spreadsheets/d/11923uPwbBZFjjGgGUA6NLw09EwE0CqkOc4q9oUmW1yo/edit?usp=sharing"",""นครสวรรค์!J272"")"),0)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IFERROR(__xludf.DUMMYFUNCTION("IMPORTRANGE(""https://docs.google.com/spreadsheets/d/11923uPwbBZFjjGgGUA6NLw09EwE0CqkOc4q9oUmW1yo/edit?usp=sharing"",""นครสวรรค์!J273"")"),0)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IFERROR(__xludf.DUMMYFUNCTION("IMPORTRANGE(""https://docs.google.com/spreadsheets/d/11923uPwbBZFjjGgGUA6NLw09EwE0CqkOc4q9oUmW1yo/edit?usp=sharing"",""นครสวรรค์!J274"")"),0)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IFERROR(__xludf.DUMMYFUNCTION("IMPORTRANGE(""https://docs.google.com/spreadsheets/d/11923uPwbBZFjjGgGUA6NLw09EwE0CqkOc4q9oUmW1yo/edit?usp=sharing"",""นครสวรรค์!I275"")"),1000)</f>
        <v>1000</v>
      </c>
      <c r="J380" s="379">
        <f ca="1">IFERROR(__xludf.DUMMYFUNCTION("IMPORTRANGE(""https://docs.google.com/spreadsheets/d/11923uPwbBZFjjGgGUA6NLw09EwE0CqkOc4q9oUmW1yo/edit?usp=sharing"",""นครสวรรค์!J275"")"),0)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IFERROR(__xludf.DUMMYFUNCTION("IMPORTRANGE(""https://docs.google.com/spreadsheets/d/11923uPwbBZFjjGgGUA6NLw09EwE0CqkOc4q9oUmW1yo/edit?usp=sharing"",""นครสวรรค์!L275"")"),1028520)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IFERROR(__xludf.DUMMYFUNCTION("IMPORTRANGE(""https://docs.google.com/spreadsheets/d/11923uPwbBZFjjGgGUA6NLw09EwE0CqkOc4q9oUmW1yo/edit?usp=sharing"",""นครสวรรค์!M275"")"),32633)</f>
        <v>32633</v>
      </c>
      <c r="O380" s="381">
        <f ca="1">+IF(L380&gt;0,N380*100/L380,0)</f>
        <v>3.1728114183486951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IFERROR(__xludf.DUMMYFUNCTION("IMPORTRANGE(""https://docs.google.com/spreadsheets/d/11923uPwbBZFjjGgGUA6NLw09EwE0CqkOc4q9oUmW1yo/edit?usp=sharing"",""นครสวรรค์!I276"")"),100)</f>
        <v>100</v>
      </c>
      <c r="J381" s="379">
        <f ca="1">IFERROR(__xludf.DUMMYFUNCTION("IMPORTRANGE(""https://docs.google.com/spreadsheets/d/11923uPwbBZFjjGgGUA6NLw09EwE0CqkOc4q9oUmW1yo/edit?usp=sharing"",""นครสวรรค์!J276"")"),0)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IFERROR(__xludf.DUMMYFUNCTION("IMPORTRANGE(""https://docs.google.com/spreadsheets/d/11923uPwbBZFjjGgGUA6NLw09EwE0CqkOc4q9oUmW1yo/edit?usp=sharing"",""นครสวรรค์!L277"")"),0)</f>
        <v>0</v>
      </c>
      <c r="M382" s="172"/>
      <c r="N382" s="172">
        <f ca="1">IFERROR(__xludf.DUMMYFUNCTION("IMPORTRANGE(""https://docs.google.com/spreadsheets/d/11923uPwbBZFjjGgGUA6NLw09EwE0CqkOc4q9oUmW1yo/edit?usp=sharing"",""นครสวรรค์!M277"")"),0)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IFERROR(__xludf.DUMMYFUNCTION("IMPORTRANGE(""https://docs.google.com/spreadsheets/d/11923uPwbBZFjjGgGUA6NLw09EwE0CqkOc4q9oUmW1yo/edit?usp=sharing"",""นครสวรรค์!L278"")"),1028520)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IFERROR(__xludf.DUMMYFUNCTION("IMPORTRANGE(""https://docs.google.com/spreadsheets/d/11923uPwbBZFjjGgGUA6NLw09EwE0CqkOc4q9oUmW1yo/edit?usp=sharing"",""นครสวรรค์!M278"")"),32633)</f>
        <v>32633</v>
      </c>
      <c r="O383" s="173">
        <f t="shared" ca="1" si="109"/>
        <v>3.1728114183486951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IFERROR(__xludf.DUMMYFUNCTION("IMPORTRANGE(""https://docs.google.com/spreadsheets/d/11923uPwbBZFjjGgGUA6NLw09EwE0CqkOc4q9oUmW1yo/edit?usp=sharing"",""นครสวรรค์!L279"")"),0)</f>
        <v>0</v>
      </c>
      <c r="M384" s="178"/>
      <c r="N384" s="178">
        <f ca="1">IFERROR(__xludf.DUMMYFUNCTION("IMPORTRANGE(""https://docs.google.com/spreadsheets/d/11923uPwbBZFjjGgGUA6NLw09EwE0CqkOc4q9oUmW1yo/edit?usp=sharing"",""นครสวรรค์!M279"")"),0)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IFERROR(__xludf.DUMMYFUNCTION("IMPORTRANGE(""https://docs.google.com/spreadsheets/d/11923uPwbBZFjjGgGUA6NLw09EwE0CqkOc4q9oUmW1yo/edit?usp=sharing"",""นครสวรรค์!L280"")"),1028520)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IFERROR(__xludf.DUMMYFUNCTION("IMPORTRANGE(""https://docs.google.com/spreadsheets/d/11923uPwbBZFjjGgGUA6NLw09EwE0CqkOc4q9oUmW1yo/edit?usp=sharing"",""นครสวรรค์!M280"")"),32633)</f>
        <v>32633</v>
      </c>
      <c r="O385" s="178">
        <f t="shared" ca="1" si="109"/>
        <v>3.1728114183486951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IFERROR(__xludf.DUMMYFUNCTION("IMPORTRANGE(""https://docs.google.com/spreadsheets/d/11923uPwbBZFjjGgGUA6NLw09EwE0CqkOc4q9oUmW1yo/edit?usp=sharing"",""นครสวรรค์!M281"")"),0)</f>
        <v>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IFERROR(__xludf.DUMMYFUNCTION("IMPORTRANGE(""https://docs.google.com/spreadsheets/d/11923uPwbBZFjjGgGUA6NLw09EwE0CqkOc4q9oUmW1yo/edit?usp=sharing"",""นครสวรรค์!M282"")"),0)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IFERROR(__xludf.DUMMYFUNCTION("IMPORTRANGE(""https://docs.google.com/spreadsheets/d/11923uPwbBZFjjGgGUA6NLw09EwE0CqkOc4q9oUmW1yo/edit?usp=sharing"",""นครสวรรค์!M283"")"),32633)</f>
        <v>32633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IFERROR(__xludf.DUMMYFUNCTION("IMPORTRANGE(""https://docs.google.com/spreadsheets/d/11923uPwbBZFjjGgGUA6NLw09EwE0CqkOc4q9oUmW1yo/edit?usp=sharing"",""นครสวรรค์!M284"")"),0)</f>
        <v>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IFERROR(__xludf.DUMMYFUNCTION("IMPORTRANGE(""https://docs.google.com/spreadsheets/d/11923uPwbBZFjjGgGUA6NLw09EwE0CqkOc4q9oUmW1yo/edit?usp=sharing"",""นครสวรรค์!J286"")"),0)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IFERROR(__xludf.DUMMYFUNCTION("IMPORTRANGE(""https://docs.google.com/spreadsheets/d/11923uPwbBZFjjGgGUA6NLw09EwE0CqkOc4q9oUmW1yo/edit?usp=sharing"",""นครสวรรค์!J287"")"),1)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IFERROR(__xludf.DUMMYFUNCTION("IMPORTRANGE(""https://docs.google.com/spreadsheets/d/11923uPwbBZFjjGgGUA6NLw09EwE0CqkOc4q9oUmW1yo/edit?usp=sharing"",""นครสวรรค์!J288"")"),1)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IFERROR(__xludf.DUMMYFUNCTION("IMPORTRANGE(""https://docs.google.com/spreadsheets/d/11923uPwbBZFjjGgGUA6NLw09EwE0CqkOc4q9oUmW1yo/edit?usp=sharing"",""นครสวรรค์!J289"")"),1)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IFERROR(__xludf.DUMMYFUNCTION("IMPORTRANGE(""https://docs.google.com/spreadsheets/d/11923uPwbBZFjjGgGUA6NLw09EwE0CqkOc4q9oUmW1yo/edit?usp=sharing"",""นครสวรรค์!I291"")"),100)</f>
        <v>100</v>
      </c>
      <c r="J396" s="207">
        <f ca="1">IFERROR(__xludf.DUMMYFUNCTION("IMPORTRANGE(""https://docs.google.com/spreadsheets/d/11923uPwbBZFjjGgGUA6NLw09EwE0CqkOc4q9oUmW1yo/edit?usp=sharing"",""นครสวรรค์!J291"")"),0)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IFERROR(__xludf.DUMMYFUNCTION("IMPORTRANGE(""https://docs.google.com/spreadsheets/d/11923uPwbBZFjjGgGUA6NLw09EwE0CqkOc4q9oUmW1yo/edit?usp=sharing"",""นครสวรรค์!I292"")"),1000)</f>
        <v>1000</v>
      </c>
      <c r="J397" s="207">
        <f ca="1">IFERROR(__xludf.DUMMYFUNCTION("IMPORTRANGE(""https://docs.google.com/spreadsheets/d/11923uPwbBZFjjGgGUA6NLw09EwE0CqkOc4q9oUmW1yo/edit?usp=sharing"",""นครสวรรค์!J292"")"),0)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IFERROR(__xludf.DUMMYFUNCTION("IMPORTRANGE(""https://docs.google.com/spreadsheets/d/11923uPwbBZFjjGgGUA6NLw09EwE0CqkOc4q9oUmW1yo/edit?usp=sharing"",""นครสวรรค์!I293"")"),100)</f>
        <v>100</v>
      </c>
      <c r="J398" s="207">
        <f ca="1">IFERROR(__xludf.DUMMYFUNCTION("IMPORTRANGE(""https://docs.google.com/spreadsheets/d/11923uPwbBZFjjGgGUA6NLw09EwE0CqkOc4q9oUmW1yo/edit?usp=sharing"",""นครสวรรค์!J293"")"),0)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IFERROR(__xludf.DUMMYFUNCTION("IMPORTRANGE(""https://docs.google.com/spreadsheets/d/11923uPwbBZFjjGgGUA6NLw09EwE0CqkOc4q9oUmW1yo/edit?usp=sharing"",""นครสวรรค์!J294"")"),0)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IFERROR(__xludf.DUMMYFUNCTION("IMPORTRANGE(""https://docs.google.com/spreadsheets/d/11923uPwbBZFjjGgGUA6NLw09EwE0CqkOc4q9oUmW1yo/edit?usp=sharing"",""นครสวรรค์!J295"")"),0)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IFERROR(__xludf.DUMMYFUNCTION("IMPORTRANGE(""https://docs.google.com/spreadsheets/d/11923uPwbBZFjjGgGUA6NLw09EwE0CqkOc4q9oUmW1yo/edit?usp=sharing"",""นครสวรรค์!I296"")"),135)</f>
        <v>135</v>
      </c>
      <c r="J401" s="379">
        <f ca="1">IFERROR(__xludf.DUMMYFUNCTION("IMPORTRANGE(""https://docs.google.com/spreadsheets/d/11923uPwbBZFjjGgGUA6NLw09EwE0CqkOc4q9oUmW1yo/edit?usp=sharing"",""นครสวรรค์!J296"")"),105)</f>
        <v>105</v>
      </c>
      <c r="K401" s="380">
        <f t="shared" ref="K401:K402" ca="1" si="111">IF(I401&gt;0,J401*100/I401,0)</f>
        <v>77.777777777777771</v>
      </c>
      <c r="L401" s="381">
        <f ca="1">IFERROR(__xludf.DUMMYFUNCTION("IMPORTRANGE(""https://docs.google.com/spreadsheets/d/11923uPwbBZFjjGgGUA6NLw09EwE0CqkOc4q9oUmW1yo/edit?usp=sharing"",""นครสวรรค์!L296"")"),159950)</f>
        <v>159950</v>
      </c>
      <c r="M401" s="381"/>
      <c r="N401" s="381">
        <f ca="1">IFERROR(__xludf.DUMMYFUNCTION("IMPORTRANGE(""https://docs.google.com/spreadsheets/d/11923uPwbBZFjjGgGUA6NLw09EwE0CqkOc4q9oUmW1yo/edit?usp=sharing"",""นครสวรรค์!M296"")"),94105)</f>
        <v>94105</v>
      </c>
      <c r="O401" s="381">
        <f ca="1">+IF(L401&gt;0,N401*100/L401,0)</f>
        <v>58.834010628321352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IFERROR(__xludf.DUMMYFUNCTION("IMPORTRANGE(""https://docs.google.com/spreadsheets/d/11923uPwbBZFjjGgGUA6NLw09EwE0CqkOc4q9oUmW1yo/edit?usp=sharing"",""นครสวรรค์!I297"")"),45)</f>
        <v>45</v>
      </c>
      <c r="J402" s="379">
        <f ca="1">IFERROR(__xludf.DUMMYFUNCTION("IMPORTRANGE(""https://docs.google.com/spreadsheets/d/11923uPwbBZFjjGgGUA6NLw09EwE0CqkOc4q9oUmW1yo/edit?usp=sharing"",""นครสวรรค์!J297"")"),35)</f>
        <v>35</v>
      </c>
      <c r="K402" s="380">
        <f t="shared" ca="1" si="111"/>
        <v>77.777777777777771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IFERROR(__xludf.DUMMYFUNCTION("IMPORTRANGE(""https://docs.google.com/spreadsheets/d/11923uPwbBZFjjGgGUA6NLw09EwE0CqkOc4q9oUmW1yo/edit?usp=sharing"",""นครสวรรค์!L298"")"),0)</f>
        <v>0</v>
      </c>
      <c r="M403" s="172"/>
      <c r="N403" s="178">
        <f ca="1">IFERROR(__xludf.DUMMYFUNCTION("IMPORTRANGE(""https://docs.google.com/spreadsheets/d/11923uPwbBZFjjGgGUA6NLw09EwE0CqkOc4q9oUmW1yo/edit?usp=sharing"",""นครสวรรค์!M298"")"),0)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IFERROR(__xludf.DUMMYFUNCTION("IMPORTRANGE(""https://docs.google.com/spreadsheets/d/11923uPwbBZFjjGgGUA6NLw09EwE0CqkOc4q9oUmW1yo/edit?usp=sharing"",""นครสวรรค์!L299"")"),159950)</f>
        <v>159950</v>
      </c>
      <c r="M404" s="173"/>
      <c r="N404" s="178">
        <f ca="1">IFERROR(__xludf.DUMMYFUNCTION("IMPORTRANGE(""https://docs.google.com/spreadsheets/d/11923uPwbBZFjjGgGUA6NLw09EwE0CqkOc4q9oUmW1yo/edit?usp=sharing"",""นครสวรรค์!M299"")"),94105)</f>
        <v>94105</v>
      </c>
      <c r="O404" s="178">
        <f t="shared" ca="1" si="112"/>
        <v>58.834010628321352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IFERROR(__xludf.DUMMYFUNCTION("IMPORTRANGE(""https://docs.google.com/spreadsheets/d/11923uPwbBZFjjGgGUA6NLw09EwE0CqkOc4q9oUmW1yo/edit?usp=sharing"",""นครสวรรค์!L300"")"),0)</f>
        <v>0</v>
      </c>
      <c r="M405" s="178"/>
      <c r="N405" s="178">
        <f ca="1">IFERROR(__xludf.DUMMYFUNCTION("IMPORTRANGE(""https://docs.google.com/spreadsheets/d/11923uPwbBZFjjGgGUA6NLw09EwE0CqkOc4q9oUmW1yo/edit?usp=sharing"",""นครสวรรค์!M300"")"),0)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IFERROR(__xludf.DUMMYFUNCTION("IMPORTRANGE(""https://docs.google.com/spreadsheets/d/11923uPwbBZFjjGgGUA6NLw09EwE0CqkOc4q9oUmW1yo/edit?usp=sharing"",""นครสวรรค์!L301"")"),159950)</f>
        <v>159950</v>
      </c>
      <c r="M406" s="178"/>
      <c r="N406" s="178">
        <f ca="1">IFERROR(__xludf.DUMMYFUNCTION("IMPORTRANGE(""https://docs.google.com/spreadsheets/d/11923uPwbBZFjjGgGUA6NLw09EwE0CqkOc4q9oUmW1yo/edit?usp=sharing"",""นครสวรรค์!M301"")"),94105)</f>
        <v>94105</v>
      </c>
      <c r="O406" s="178">
        <f t="shared" ca="1" si="112"/>
        <v>58.834010628321352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IFERROR(__xludf.DUMMYFUNCTION("IMPORTRANGE(""https://docs.google.com/spreadsheets/d/11923uPwbBZFjjGgGUA6NLw09EwE0CqkOc4q9oUmW1yo/edit?usp=sharing"",""นครสวรรค์!M302"")"),76905)</f>
        <v>76905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IFERROR(__xludf.DUMMYFUNCTION("IMPORTRANGE(""https://docs.google.com/spreadsheets/d/11923uPwbBZFjjGgGUA6NLw09EwE0CqkOc4q9oUmW1yo/edit?usp=sharing"",""นครสวรรค์!M303"")"),15000)</f>
        <v>15000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IFERROR(__xludf.DUMMYFUNCTION("IMPORTRANGE(""https://docs.google.com/spreadsheets/d/11923uPwbBZFjjGgGUA6NLw09EwE0CqkOc4q9oUmW1yo/edit?usp=sharing"",""นครสวรรค์!M304"")"),0)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IFERROR(__xludf.DUMMYFUNCTION("IMPORTRANGE(""https://docs.google.com/spreadsheets/d/11923uPwbBZFjjGgGUA6NLw09EwE0CqkOc4q9oUmW1yo/edit?usp=sharing"",""นครสวรรค์!M305"")"),2200)</f>
        <v>2200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IFERROR(__xludf.DUMMYFUNCTION("IMPORTRANGE(""https://docs.google.com/spreadsheets/d/11923uPwbBZFjjGgGUA6NLw09EwE0CqkOc4q9oUmW1yo/edit?usp=sharing"",""นครสวรรค์!J307"")"),0)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IFERROR(__xludf.DUMMYFUNCTION("IMPORTRANGE(""https://docs.google.com/spreadsheets/d/11923uPwbBZFjjGgGUA6NLw09EwE0CqkOc4q9oUmW1yo/edit?usp=sharing"",""นครสวรรค์!J308"")"),1)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IFERROR(__xludf.DUMMYFUNCTION("IMPORTRANGE(""https://docs.google.com/spreadsheets/d/11923uPwbBZFjjGgGUA6NLw09EwE0CqkOc4q9oUmW1yo/edit?usp=sharing"",""นครสวรรค์!J309"")"),1)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IFERROR(__xludf.DUMMYFUNCTION("IMPORTRANGE(""https://docs.google.com/spreadsheets/d/11923uPwbBZFjjGgGUA6NLw09EwE0CqkOc4q9oUmW1yo/edit?usp=sharing"",""นครสวรรค์!J310"")"),1)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IFERROR(__xludf.DUMMYFUNCTION("IMPORTRANGE(""https://docs.google.com/spreadsheets/d/11923uPwbBZFjjGgGUA6NLw09EwE0CqkOc4q9oUmW1yo/edit?usp=sharing"",""นครสวรรค์!I311"")"),45)</f>
        <v>45</v>
      </c>
      <c r="J416" s="210">
        <f ca="1">IFERROR(__xludf.DUMMYFUNCTION("IMPORTRANGE(""https://docs.google.com/spreadsheets/d/11923uPwbBZFjjGgGUA6NLw09EwE0CqkOc4q9oUmW1yo/edit?usp=sharing"",""นครสวรรค์!J311"")"),35)</f>
        <v>35</v>
      </c>
      <c r="K416" s="211">
        <f t="shared" ref="K416:K432" ca="1" si="113">IF(I416&gt;0,J416*100/I416,0)</f>
        <v>77.777777777777771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IFERROR(__xludf.DUMMYFUNCTION("IMPORTRANGE(""https://docs.google.com/spreadsheets/d/11923uPwbBZFjjGgGUA6NLw09EwE0CqkOc4q9oUmW1yo/edit?usp=sharing"",""นครสวรรค์!I312"")"),10)</f>
        <v>10</v>
      </c>
      <c r="J417" s="400">
        <f ca="1">IFERROR(__xludf.DUMMYFUNCTION("IMPORTRANGE(""https://docs.google.com/spreadsheets/d/11923uPwbBZFjjGgGUA6NLw09EwE0CqkOc4q9oUmW1yo/edit?usp=sharing"",""นครสวรรค์!J312"")"),10)</f>
        <v>10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IFERROR(__xludf.DUMMYFUNCTION("IMPORTRANGE(""https://docs.google.com/spreadsheets/d/11923uPwbBZFjjGgGUA6NLw09EwE0CqkOc4q9oUmW1yo/edit?usp=sharing"",""นครสวรรค์!I313"")"),30)</f>
        <v>30</v>
      </c>
      <c r="J418" s="401">
        <f ca="1">IFERROR(__xludf.DUMMYFUNCTION("IMPORTRANGE(""https://docs.google.com/spreadsheets/d/11923uPwbBZFjjGgGUA6NLw09EwE0CqkOc4q9oUmW1yo/edit?usp=sharing"",""นครสวรรค์!J313"")"),30)</f>
        <v>30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IFERROR(__xludf.DUMMYFUNCTION("IMPORTRANGE(""https://docs.google.com/spreadsheets/d/11923uPwbBZFjjGgGUA6NLw09EwE0CqkOc4q9oUmW1yo/edit?usp=sharing"",""นครสวรรค์!I314"")"),10)</f>
        <v>10</v>
      </c>
      <c r="J419" s="402">
        <f ca="1">IFERROR(__xludf.DUMMYFUNCTION("IMPORTRANGE(""https://docs.google.com/spreadsheets/d/11923uPwbBZFjjGgGUA6NLw09EwE0CqkOc4q9oUmW1yo/edit?usp=sharing"",""นครสวรรค์!J314"")"),10)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IFERROR(__xludf.DUMMYFUNCTION("IMPORTRANGE(""https://docs.google.com/spreadsheets/d/11923uPwbBZFjjGgGUA6NLw09EwE0CqkOc4q9oUmW1yo/edit?usp=sharing"",""นครสวรรค์!I315"")"),10)</f>
        <v>10</v>
      </c>
      <c r="J420" s="402">
        <f ca="1">IFERROR(__xludf.DUMMYFUNCTION("IMPORTRANGE(""https://docs.google.com/spreadsheets/d/11923uPwbBZFjjGgGUA6NLw09EwE0CqkOc4q9oUmW1yo/edit?usp=sharing"",""นครสวรรค์!J315"")"),10)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IFERROR(__xludf.DUMMYFUNCTION("IMPORTRANGE(""https://docs.google.com/spreadsheets/d/11923uPwbBZFjjGgGUA6NLw09EwE0CqkOc4q9oUmW1yo/edit?usp=sharing"",""นครสวรรค์!I316"")"),25)</f>
        <v>25</v>
      </c>
      <c r="J421" s="400">
        <f ca="1">IFERROR(__xludf.DUMMYFUNCTION("IMPORTRANGE(""https://docs.google.com/spreadsheets/d/11923uPwbBZFjjGgGUA6NLw09EwE0CqkOc4q9oUmW1yo/edit?usp=sharing"",""นครสวรรค์!J316"")"),25)</f>
        <v>25</v>
      </c>
      <c r="K421" s="211">
        <f t="shared" ca="1" si="113"/>
        <v>100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IFERROR(__xludf.DUMMYFUNCTION("IMPORTRANGE(""https://docs.google.com/spreadsheets/d/11923uPwbBZFjjGgGUA6NLw09EwE0CqkOc4q9oUmW1yo/edit?usp=sharing"",""นครสวรรค์!I317"")"),75)</f>
        <v>75</v>
      </c>
      <c r="J422" s="401">
        <f ca="1">IFERROR(__xludf.DUMMYFUNCTION("IMPORTRANGE(""https://docs.google.com/spreadsheets/d/11923uPwbBZFjjGgGUA6NLw09EwE0CqkOc4q9oUmW1yo/edit?usp=sharing"",""นครสวรรค์!J317"")"),75)</f>
        <v>75</v>
      </c>
      <c r="K422" s="211">
        <f t="shared" ca="1" si="113"/>
        <v>100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IFERROR(__xludf.DUMMYFUNCTION("IMPORTRANGE(""https://docs.google.com/spreadsheets/d/11923uPwbBZFjjGgGUA6NLw09EwE0CqkOc4q9oUmW1yo/edit?usp=sharing"",""นครสวรรค์!I318"")"),25)</f>
        <v>25</v>
      </c>
      <c r="J423" s="402">
        <f ca="1">IFERROR(__xludf.DUMMYFUNCTION("IMPORTRANGE(""https://docs.google.com/spreadsheets/d/11923uPwbBZFjjGgGUA6NLw09EwE0CqkOc4q9oUmW1yo/edit?usp=sharing"",""นครสวรรค์!J318"")"),25)</f>
        <v>25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IFERROR(__xludf.DUMMYFUNCTION("IMPORTRANGE(""https://docs.google.com/spreadsheets/d/11923uPwbBZFjjGgGUA6NLw09EwE0CqkOc4q9oUmW1yo/edit?usp=sharing"",""นครสวรรค์!I319"")"),25)</f>
        <v>25</v>
      </c>
      <c r="J424" s="402">
        <f ca="1">IFERROR(__xludf.DUMMYFUNCTION("IMPORTRANGE(""https://docs.google.com/spreadsheets/d/11923uPwbBZFjjGgGUA6NLw09EwE0CqkOc4q9oUmW1yo/edit?usp=sharing"",""นครสวรรค์!J319"")"),25)</f>
        <v>25</v>
      </c>
      <c r="K424" s="171">
        <f t="shared" ca="1" si="113"/>
        <v>100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IFERROR(__xludf.DUMMYFUNCTION("IMPORTRANGE(""https://docs.google.com/spreadsheets/d/11923uPwbBZFjjGgGUA6NLw09EwE0CqkOc4q9oUmW1yo/edit?usp=sharing"",""นครสวรรค์!I320"")"),25)</f>
        <v>25</v>
      </c>
      <c r="J425" s="402">
        <f ca="1">IFERROR(__xludf.DUMMYFUNCTION("IMPORTRANGE(""https://docs.google.com/spreadsheets/d/11923uPwbBZFjjGgGUA6NLw09EwE0CqkOc4q9oUmW1yo/edit?usp=sharing"",""นครสวรรค์!J320"")"),25)</f>
        <v>25</v>
      </c>
      <c r="K425" s="171">
        <f t="shared" ca="1" si="113"/>
        <v>100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IFERROR(__xludf.DUMMYFUNCTION("IMPORTRANGE(""https://docs.google.com/spreadsheets/d/11923uPwbBZFjjGgGUA6NLw09EwE0CqkOc4q9oUmW1yo/edit?usp=sharing"",""นครสวรรค์!I321"")"),10)</f>
        <v>10</v>
      </c>
      <c r="J426" s="400">
        <f ca="1">IFERROR(__xludf.DUMMYFUNCTION("IMPORTRANGE(""https://docs.google.com/spreadsheets/d/11923uPwbBZFjjGgGUA6NLw09EwE0CqkOc4q9oUmW1yo/edit?usp=sharing"",""นครสวรรค์!J321"")"),0)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IFERROR(__xludf.DUMMYFUNCTION("IMPORTRANGE(""https://docs.google.com/spreadsheets/d/11923uPwbBZFjjGgGUA6NLw09EwE0CqkOc4q9oUmW1yo/edit?usp=sharing"",""นครสวรรค์!I322"")"),30)</f>
        <v>30</v>
      </c>
      <c r="J427" s="401">
        <f ca="1">IFERROR(__xludf.DUMMYFUNCTION("IMPORTRANGE(""https://docs.google.com/spreadsheets/d/11923uPwbBZFjjGgGUA6NLw09EwE0CqkOc4q9oUmW1yo/edit?usp=sharing"",""นครสวรรค์!J322"")"),0)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IFERROR(__xludf.DUMMYFUNCTION("IMPORTRANGE(""https://docs.google.com/spreadsheets/d/11923uPwbBZFjjGgGUA6NLw09EwE0CqkOc4q9oUmW1yo/edit?usp=sharing"",""นครสวรรค์!I323"")"),10)</f>
        <v>10</v>
      </c>
      <c r="J428" s="402">
        <f ca="1">IFERROR(__xludf.DUMMYFUNCTION("IMPORTRANGE(""https://docs.google.com/spreadsheets/d/11923uPwbBZFjjGgGUA6NLw09EwE0CqkOc4q9oUmW1yo/edit?usp=sharing"",""นครสวรรค์!J323"")"),0)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IFERROR(__xludf.DUMMYFUNCTION("IMPORTRANGE(""https://docs.google.com/spreadsheets/d/11923uPwbBZFjjGgGUA6NLw09EwE0CqkOc4q9oUmW1yo/edit?usp=sharing"",""นครสวรรค์!I324"")"),10)</f>
        <v>10</v>
      </c>
      <c r="J429" s="402">
        <f ca="1">IFERROR(__xludf.DUMMYFUNCTION("IMPORTRANGE(""https://docs.google.com/spreadsheets/d/11923uPwbBZFjjGgGUA6NLw09EwE0CqkOc4q9oUmW1yo/edit?usp=sharing"",""นครสวรรค์!J324"")"),0)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IFERROR(__xludf.DUMMYFUNCTION("IMPORTRANGE(""https://docs.google.com/spreadsheets/d/11923uPwbBZFjjGgGUA6NLw09EwE0CqkOc4q9oUmW1yo/edit?usp=sharing"",""นครสวรรค์!I325"")"),35)</f>
        <v>35</v>
      </c>
      <c r="J430" s="400">
        <f ca="1">IFERROR(__xludf.DUMMYFUNCTION("IMPORTRANGE(""https://docs.google.com/spreadsheets/d/11923uPwbBZFjjGgGUA6NLw09EwE0CqkOc4q9oUmW1yo/edit?usp=sharing"",""นครสวรรค์!J325"")"),0)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IFERROR(__xludf.DUMMYFUNCTION("IMPORTRANGE(""https://docs.google.com/spreadsheets/d/11923uPwbBZFjjGgGUA6NLw09EwE0CqkOc4q9oUmW1yo/edit?usp=sharing"",""นครสวรรค์!I326"")"),10)</f>
        <v>10</v>
      </c>
      <c r="J431" s="402">
        <f ca="1">IFERROR(__xludf.DUMMYFUNCTION("IMPORTRANGE(""https://docs.google.com/spreadsheets/d/11923uPwbBZFjjGgGUA6NLw09EwE0CqkOc4q9oUmW1yo/edit?usp=sharing"",""นครสวรรค์!J326"")"),10)</f>
        <v>10</v>
      </c>
      <c r="K431" s="171">
        <f t="shared" ca="1" si="113"/>
        <v>100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IFERROR(__xludf.DUMMYFUNCTION("IMPORTRANGE(""https://docs.google.com/spreadsheets/d/11923uPwbBZFjjGgGUA6NLw09EwE0CqkOc4q9oUmW1yo/edit?usp=sharing"",""นครสวรรค์!I327"")"),25)</f>
        <v>25</v>
      </c>
      <c r="J432" s="402">
        <f ca="1">IFERROR(__xludf.DUMMYFUNCTION("IMPORTRANGE(""https://docs.google.com/spreadsheets/d/11923uPwbBZFjjGgGUA6NLw09EwE0CqkOc4q9oUmW1yo/edit?usp=sharing"",""นครสวรรค์!J327"")"),0)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IFERROR(__xludf.DUMMYFUNCTION("IMPORTRANGE(""https://docs.google.com/spreadsheets/d/11923uPwbBZFjjGgGUA6NLw09EwE0CqkOc4q9oUmW1yo/edit?usp=sharing"",""นครสวรรค์!J328"")"),0)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IFERROR(__xludf.DUMMYFUNCTION("IMPORTRANGE(""https://docs.google.com/spreadsheets/d/11923uPwbBZFjjGgGUA6NLw09EwE0CqkOc4q9oUmW1yo/edit?usp=sharing"",""นครสวรรค์!J329"")"),0)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IFERROR(__xludf.DUMMYFUNCTION("IMPORTRANGE(""https://docs.google.com/spreadsheets/d/11923uPwbBZFjjGgGUA6NLw09EwE0CqkOc4q9oUmW1yo/edit?usp=sharing"",""นครสวรรค์!I330"")"),15)</f>
        <v>15</v>
      </c>
      <c r="J435" s="418">
        <f ca="1">IFERROR(__xludf.DUMMYFUNCTION("IMPORTRANGE(""https://docs.google.com/spreadsheets/d/11923uPwbBZFjjGgGUA6NLw09EwE0CqkOc4q9oUmW1yo/edit?usp=sharing"",""นครสวรรค์!J330"")"),15)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IFERROR(__xludf.DUMMYFUNCTION("IMPORTRANGE(""https://docs.google.com/spreadsheets/d/11923uPwbBZFjjGgGUA6NLw09EwE0CqkOc4q9oUmW1yo/edit?usp=sharing"",""นครสวรรค์!L330"")"),83000)</f>
        <v>83000</v>
      </c>
      <c r="M435" s="420"/>
      <c r="N435" s="420">
        <f ca="1">IFERROR(__xludf.DUMMYFUNCTION("IMPORTRANGE(""https://docs.google.com/spreadsheets/d/11923uPwbBZFjjGgGUA6NLw09EwE0CqkOc4q9oUmW1yo/edit?usp=sharing"",""นครสวรรค์!M330"")"),64242)</f>
        <v>64242</v>
      </c>
      <c r="O435" s="420">
        <f t="shared" ref="O435:O439" ca="1" si="114">+IF(L435&gt;0,N435*100/L435,0)</f>
        <v>77.400000000000006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IFERROR(__xludf.DUMMYFUNCTION("IMPORTRANGE(""https://docs.google.com/spreadsheets/d/11923uPwbBZFjjGgGUA6NLw09EwE0CqkOc4q9oUmW1yo/edit?usp=sharing"",""นครสวรรค์!L331"")"),0)</f>
        <v>0</v>
      </c>
      <c r="M436" s="172"/>
      <c r="N436" s="178">
        <f ca="1">IFERROR(__xludf.DUMMYFUNCTION("IMPORTRANGE(""https://docs.google.com/spreadsheets/d/11923uPwbBZFjjGgGUA6NLw09EwE0CqkOc4q9oUmW1yo/edit?usp=sharing"",""นครสวรรค์!M331"")"),0)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IFERROR(__xludf.DUMMYFUNCTION("IMPORTRANGE(""https://docs.google.com/spreadsheets/d/11923uPwbBZFjjGgGUA6NLw09EwE0CqkOc4q9oUmW1yo/edit?usp=sharing"",""นครสวรรค์!L332"")"),83000)</f>
        <v>83000</v>
      </c>
      <c r="M437" s="173"/>
      <c r="N437" s="178">
        <f ca="1">IFERROR(__xludf.DUMMYFUNCTION("IMPORTRANGE(""https://docs.google.com/spreadsheets/d/11923uPwbBZFjjGgGUA6NLw09EwE0CqkOc4q9oUmW1yo/edit?usp=sharing"",""นครสวรรค์!M332"")"),64242)</f>
        <v>64242</v>
      </c>
      <c r="O437" s="178">
        <f t="shared" ca="1" si="114"/>
        <v>77.400000000000006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IFERROR(__xludf.DUMMYFUNCTION("IMPORTRANGE(""https://docs.google.com/spreadsheets/d/11923uPwbBZFjjGgGUA6NLw09EwE0CqkOc4q9oUmW1yo/edit?usp=sharing"",""นครสวรรค์!L333"")"),0)</f>
        <v>0</v>
      </c>
      <c r="M438" s="178"/>
      <c r="N438" s="178">
        <f ca="1">IFERROR(__xludf.DUMMYFUNCTION("IMPORTRANGE(""https://docs.google.com/spreadsheets/d/11923uPwbBZFjjGgGUA6NLw09EwE0CqkOc4q9oUmW1yo/edit?usp=sharing"",""นครสวรรค์!M333"")"),0)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IFERROR(__xludf.DUMMYFUNCTION("IMPORTRANGE(""https://docs.google.com/spreadsheets/d/11923uPwbBZFjjGgGUA6NLw09EwE0CqkOc4q9oUmW1yo/edit?usp=sharing"",""นครสวรรค์!L334"")"),83000)</f>
        <v>83000</v>
      </c>
      <c r="M439" s="178"/>
      <c r="N439" s="178">
        <f ca="1">IFERROR(__xludf.DUMMYFUNCTION("IMPORTRANGE(""https://docs.google.com/spreadsheets/d/11923uPwbBZFjjGgGUA6NLw09EwE0CqkOc4q9oUmW1yo/edit?usp=sharing"",""นครสวรรค์!M334"")"),64242)</f>
        <v>64242</v>
      </c>
      <c r="O439" s="178">
        <f t="shared" ca="1" si="114"/>
        <v>77.400000000000006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IFERROR(__xludf.DUMMYFUNCTION("IMPORTRANGE(""https://docs.google.com/spreadsheets/d/11923uPwbBZFjjGgGUA6NLw09EwE0CqkOc4q9oUmW1yo/edit?usp=sharing"",""นครสวรรค์!M335"")"),61802)</f>
        <v>61802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IFERROR(__xludf.DUMMYFUNCTION("IMPORTRANGE(""https://docs.google.com/spreadsheets/d/11923uPwbBZFjjGgGUA6NLw09EwE0CqkOc4q9oUmW1yo/edit?usp=sharing"",""นครสวรรค์!M336"")"),0)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IFERROR(__xludf.DUMMYFUNCTION("IMPORTRANGE(""https://docs.google.com/spreadsheets/d/11923uPwbBZFjjGgGUA6NLw09EwE0CqkOc4q9oUmW1yo/edit?usp=sharing"",""นครสวรรค์!M337"")"),0)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IFERROR(__xludf.DUMMYFUNCTION("IMPORTRANGE(""https://docs.google.com/spreadsheets/d/11923uPwbBZFjjGgGUA6NLw09EwE0CqkOc4q9oUmW1yo/edit?usp=sharing"",""นครสวรรค์!M338"")"),2440)</f>
        <v>2440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IFERROR(__xludf.DUMMYFUNCTION("IMPORTRANGE(""https://docs.google.com/spreadsheets/d/11923uPwbBZFjjGgGUA6NLw09EwE0CqkOc4q9oUmW1yo/edit?usp=sharing"",""นครสวรรค์!J340"")"),0)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IFERROR(__xludf.DUMMYFUNCTION("IMPORTRANGE(""https://docs.google.com/spreadsheets/d/11923uPwbBZFjjGgGUA6NLw09EwE0CqkOc4q9oUmW1yo/edit?usp=sharing"",""นครสวรรค์!J341"")"),1)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IFERROR(__xludf.DUMMYFUNCTION("IMPORTRANGE(""https://docs.google.com/spreadsheets/d/11923uPwbBZFjjGgGUA6NLw09EwE0CqkOc4q9oUmW1yo/edit?usp=sharing"",""นครสวรรค์!J342"")"),1)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IFERROR(__xludf.DUMMYFUNCTION("IMPORTRANGE(""https://docs.google.com/spreadsheets/d/11923uPwbBZFjjGgGUA6NLw09EwE0CqkOc4q9oUmW1yo/edit?usp=sharing"",""นครสวรรค์!J343"")"),1)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IFERROR(__xludf.DUMMYFUNCTION("IMPORTRANGE(""https://docs.google.com/spreadsheets/d/11923uPwbBZFjjGgGUA6NLw09EwE0CqkOc4q9oUmW1yo/edit?usp=sharing"",""นครสวรรค์!I344"")"),15)</f>
        <v>15</v>
      </c>
      <c r="J449" s="210">
        <f ca="1">IFERROR(__xludf.DUMMYFUNCTION("IMPORTRANGE(""https://docs.google.com/spreadsheets/d/11923uPwbBZFjjGgGUA6NLw09EwE0CqkOc4q9oUmW1yo/edit?usp=sharing"",""นครสวรรค์!J344"")"),15)</f>
        <v>15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IFERROR(__xludf.DUMMYFUNCTION("IMPORTRANGE(""https://docs.google.com/spreadsheets/d/11923uPwbBZFjjGgGUA6NLw09EwE0CqkOc4q9oUmW1yo/edit?usp=sharing"",""นครสวรรค์!I345"")"),15)</f>
        <v>15</v>
      </c>
      <c r="J450" s="198">
        <f ca="1">IFERROR(__xludf.DUMMYFUNCTION("IMPORTRANGE(""https://docs.google.com/spreadsheets/d/11923uPwbBZFjjGgGUA6NLw09EwE0CqkOc4q9oUmW1yo/edit?usp=sharing"",""นครสวรรค์!J345"")"),15)</f>
        <v>15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IFERROR(__xludf.DUMMYFUNCTION("IMPORTRANGE(""https://docs.google.com/spreadsheets/d/11923uPwbBZFjjGgGUA6NLw09EwE0CqkOc4q9oUmW1yo/edit?usp=sharing"",""นครสวรรค์!I346"")"),0)</f>
        <v>0</v>
      </c>
      <c r="J451" s="197">
        <f ca="1">IFERROR(__xludf.DUMMYFUNCTION("IMPORTRANGE(""https://docs.google.com/spreadsheets/d/11923uPwbBZFjjGgGUA6NLw09EwE0CqkOc4q9oUmW1yo/edit?usp=sharing"",""นครสวรรค์!J346"")"),0)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IFERROR(__xludf.DUMMYFUNCTION("IMPORTRANGE(""https://docs.google.com/spreadsheets/d/11923uPwbBZFjjGgGUA6NLw09EwE0CqkOc4q9oUmW1yo/edit?usp=sharing"",""นครสวรรค์!I347"")"),0)</f>
        <v>0</v>
      </c>
      <c r="J452" s="197">
        <f ca="1">IFERROR(__xludf.DUMMYFUNCTION("IMPORTRANGE(""https://docs.google.com/spreadsheets/d/11923uPwbBZFjjGgGUA6NLw09EwE0CqkOc4q9oUmW1yo/edit?usp=sharing"",""นครสวรรค์!J347"")"),0)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IFERROR(__xludf.DUMMYFUNCTION("IMPORTRANGE(""https://docs.google.com/spreadsheets/d/11923uPwbBZFjjGgGUA6NLw09EwE0CqkOc4q9oUmW1yo/edit?usp=sharing"",""นครสวรรค์!J348"")"),0)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IFERROR(__xludf.DUMMYFUNCTION("IMPORTRANGE(""https://docs.google.com/spreadsheets/d/11923uPwbBZFjjGgGUA6NLw09EwE0CqkOc4q9oUmW1yo/edit?usp=sharing"",""นครสวรรค์!J349"")"),0)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IFERROR(__xludf.DUMMYFUNCTION("IMPORTRANGE(""https://docs.google.com/spreadsheets/d/11923uPwbBZFjjGgGUA6NLw09EwE0CqkOc4q9oUmW1yo/edit?usp=sharing"",""นครสวรรค์!I350"")"),40137)</f>
        <v>40137</v>
      </c>
      <c r="J455" s="379">
        <f ca="1">IFERROR(__xludf.DUMMYFUNCTION("IMPORTRANGE(""https://docs.google.com/spreadsheets/d/11923uPwbBZFjjGgGUA6NLw09EwE0CqkOc4q9oUmW1yo/edit?usp=sharing"",""นครสวรรค์!J350"")"),0)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IFERROR(__xludf.DUMMYFUNCTION("IMPORTRANGE(""https://docs.google.com/spreadsheets/d/11923uPwbBZFjjGgGUA6NLw09EwE0CqkOc4q9oUmW1yo/edit?usp=sharing"",""นครสวรรค์!L350"")"),270063)</f>
        <v>270063</v>
      </c>
      <c r="M455" s="381"/>
      <c r="N455" s="381">
        <f ca="1">IFERROR(__xludf.DUMMYFUNCTION("IMPORTRANGE(""https://docs.google.com/spreadsheets/d/11923uPwbBZFjjGgGUA6NLw09EwE0CqkOc4q9oUmW1yo/edit?usp=sharing"",""นครสวรรค์!M350"")"),38316)</f>
        <v>38316</v>
      </c>
      <c r="O455" s="381">
        <f t="shared" ref="O455:O459" ca="1" si="116">+IF(L455&gt;0,N455*100/L455,0)</f>
        <v>14.187800624298776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IFERROR(__xludf.DUMMYFUNCTION("IMPORTRANGE(""https://docs.google.com/spreadsheets/d/11923uPwbBZFjjGgGUA6NLw09EwE0CqkOc4q9oUmW1yo/edit?usp=sharing"",""นครสวรรค์!L351"")"),0)</f>
        <v>0</v>
      </c>
      <c r="M456" s="172"/>
      <c r="N456" s="178">
        <f ca="1">IFERROR(__xludf.DUMMYFUNCTION("IMPORTRANGE(""https://docs.google.com/spreadsheets/d/11923uPwbBZFjjGgGUA6NLw09EwE0CqkOc4q9oUmW1yo/edit?usp=sharing"",""นครสวรรค์!M351"")"),0)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IFERROR(__xludf.DUMMYFUNCTION("IMPORTRANGE(""https://docs.google.com/spreadsheets/d/11923uPwbBZFjjGgGUA6NLw09EwE0CqkOc4q9oUmW1yo/edit?usp=sharing"",""นครสวรรค์!L352"")"),270063)</f>
        <v>270063</v>
      </c>
      <c r="M457" s="173"/>
      <c r="N457" s="178">
        <f ca="1">IFERROR(__xludf.DUMMYFUNCTION("IMPORTRANGE(""https://docs.google.com/spreadsheets/d/11923uPwbBZFjjGgGUA6NLw09EwE0CqkOc4q9oUmW1yo/edit?usp=sharing"",""นครสวรรค์!M352"")"),38316)</f>
        <v>38316</v>
      </c>
      <c r="O457" s="178">
        <f t="shared" ca="1" si="116"/>
        <v>14.187800624298776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IFERROR(__xludf.DUMMYFUNCTION("IMPORTRANGE(""https://docs.google.com/spreadsheets/d/11923uPwbBZFjjGgGUA6NLw09EwE0CqkOc4q9oUmW1yo/edit?usp=sharing"",""นครสวรรค์!L353"")"),0)</f>
        <v>0</v>
      </c>
      <c r="M458" s="178"/>
      <c r="N458" s="178">
        <f ca="1">IFERROR(__xludf.DUMMYFUNCTION("IMPORTRANGE(""https://docs.google.com/spreadsheets/d/11923uPwbBZFjjGgGUA6NLw09EwE0CqkOc4q9oUmW1yo/edit?usp=sharing"",""นครสวรรค์!M353"")"),0)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IFERROR(__xludf.DUMMYFUNCTION("IMPORTRANGE(""https://docs.google.com/spreadsheets/d/11923uPwbBZFjjGgGUA6NLw09EwE0CqkOc4q9oUmW1yo/edit?usp=sharing"",""นครสวรรค์!L354"")"),270063)</f>
        <v>270063</v>
      </c>
      <c r="M459" s="178"/>
      <c r="N459" s="178">
        <f ca="1">IFERROR(__xludf.DUMMYFUNCTION("IMPORTRANGE(""https://docs.google.com/spreadsheets/d/11923uPwbBZFjjGgGUA6NLw09EwE0CqkOc4q9oUmW1yo/edit?usp=sharing"",""นครสวรรค์!M354"")"),38316)</f>
        <v>38316</v>
      </c>
      <c r="O459" s="178">
        <f t="shared" ca="1" si="116"/>
        <v>14.187800624298776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IFERROR(__xludf.DUMMYFUNCTION("IMPORTRANGE(""https://docs.google.com/spreadsheets/d/11923uPwbBZFjjGgGUA6NLw09EwE0CqkOc4q9oUmW1yo/edit?usp=sharing"",""นครสวรรค์!M355"")"),0)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IFERROR(__xludf.DUMMYFUNCTION("IMPORTRANGE(""https://docs.google.com/spreadsheets/d/11923uPwbBZFjjGgGUA6NLw09EwE0CqkOc4q9oUmW1yo/edit?usp=sharing"",""นครสวรรค์!M356"")"),0)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IFERROR(__xludf.DUMMYFUNCTION("IMPORTRANGE(""https://docs.google.com/spreadsheets/d/11923uPwbBZFjjGgGUA6NLw09EwE0CqkOc4q9oUmW1yo/edit?usp=sharing"",""นครสวรรค์!M357"")"),0)</f>
        <v>0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IFERROR(__xludf.DUMMYFUNCTION("IMPORTRANGE(""https://docs.google.com/spreadsheets/d/11923uPwbBZFjjGgGUA6NLw09EwE0CqkOc4q9oUmW1yo/edit?usp=sharing"",""นครสวรรค์!M358"")"),38316)</f>
        <v>38316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IFERROR(__xludf.DUMMYFUNCTION("IMPORTRANGE(""https://docs.google.com/spreadsheets/d/11923uPwbBZFjjGgGUA6NLw09EwE0CqkOc4q9oUmW1yo/edit?usp=sharing"",""นครสวรรค์!I359"")"),40137)</f>
        <v>40137</v>
      </c>
      <c r="J464" s="276">
        <f ca="1">IFERROR(__xludf.DUMMYFUNCTION("IMPORTRANGE(""https://docs.google.com/spreadsheets/d/11923uPwbBZFjjGgGUA6NLw09EwE0CqkOc4q9oUmW1yo/edit?usp=sharing"",""นครสวรรค์!J359"")"),0)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IFERROR(__xludf.DUMMYFUNCTION("IMPORTRANGE(""https://docs.google.com/spreadsheets/d/11923uPwbBZFjjGgGUA6NLw09EwE0CqkOc4q9oUmW1yo/edit?usp=sharing"",""นครสวรรค์!I360"")"),40137)</f>
        <v>40137</v>
      </c>
      <c r="J465" s="428">
        <f ca="1">IFERROR(__xludf.DUMMYFUNCTION("IMPORTRANGE(""https://docs.google.com/spreadsheets/d/11923uPwbBZFjjGgGUA6NLw09EwE0CqkOc4q9oUmW1yo/edit?usp=sharing"",""นครสวรรค์!J360"")"),45977)</f>
        <v>45977</v>
      </c>
      <c r="K465" s="211">
        <f t="shared" ca="1" si="117"/>
        <v>114.55016568253731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IFERROR(__xludf.DUMMYFUNCTION("IMPORTRANGE(""https://docs.google.com/spreadsheets/d/11923uPwbBZFjjGgGUA6NLw09EwE0CqkOc4q9oUmW1yo/edit?usp=sharing"",""นครสวรรค์!I361"")"),3128)</f>
        <v>3128</v>
      </c>
      <c r="J466" s="428">
        <f ca="1">IFERROR(__xludf.DUMMYFUNCTION("IMPORTRANGE(""https://docs.google.com/spreadsheets/d/11923uPwbBZFjjGgGUA6NLw09EwE0CqkOc4q9oUmW1yo/edit?usp=sharing"",""นครสวรรค์!J361"")"),3447)</f>
        <v>3447</v>
      </c>
      <c r="K466" s="211">
        <f t="shared" ca="1" si="117"/>
        <v>110.19820971867007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IFERROR(__xludf.DUMMYFUNCTION("IMPORTRANGE(""https://docs.google.com/spreadsheets/d/11923uPwbBZFjjGgGUA6NLw09EwE0CqkOc4q9oUmW1yo/edit?usp=sharing"",""นครสวรรค์!I362"")"),0)</f>
        <v>0</v>
      </c>
      <c r="J467" s="198">
        <f ca="1">IFERROR(__xludf.DUMMYFUNCTION("IMPORTRANGE(""https://docs.google.com/spreadsheets/d/11923uPwbBZFjjGgGUA6NLw09EwE0CqkOc4q9oUmW1yo/edit?usp=sharing"",""นครสวรรค์!J362"")"),33426)</f>
        <v>33426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IFERROR(__xludf.DUMMYFUNCTION("IMPORTRANGE(""https://docs.google.com/spreadsheets/d/11923uPwbBZFjjGgGUA6NLw09EwE0CqkOc4q9oUmW1yo/edit?usp=sharing"",""นครสวรรค์!I363"")"),0)</f>
        <v>0</v>
      </c>
      <c r="J468" s="198">
        <f ca="1">IFERROR(__xludf.DUMMYFUNCTION("IMPORTRANGE(""https://docs.google.com/spreadsheets/d/11923uPwbBZFjjGgGUA6NLw09EwE0CqkOc4q9oUmW1yo/edit?usp=sharing"",""นครสวรรค์!J363"")"),2614)</f>
        <v>2614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IFERROR(__xludf.DUMMYFUNCTION("IMPORTRANGE(""https://docs.google.com/spreadsheets/d/11923uPwbBZFjjGgGUA6NLw09EwE0CqkOc4q9oUmW1yo/edit?usp=sharing"",""นครสวรรค์!I364"")"),0)</f>
        <v>0</v>
      </c>
      <c r="J469" s="198">
        <f ca="1">IFERROR(__xludf.DUMMYFUNCTION("IMPORTRANGE(""https://docs.google.com/spreadsheets/d/11923uPwbBZFjjGgGUA6NLw09EwE0CqkOc4q9oUmW1yo/edit?usp=sharing"",""นครสวรรค์!J364"")"),11005)</f>
        <v>11005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IFERROR(__xludf.DUMMYFUNCTION("IMPORTRANGE(""https://docs.google.com/spreadsheets/d/11923uPwbBZFjjGgGUA6NLw09EwE0CqkOc4q9oUmW1yo/edit?usp=sharing"",""นครสวรรค์!I365"")"),0)</f>
        <v>0</v>
      </c>
      <c r="J470" s="198">
        <f ca="1">IFERROR(__xludf.DUMMYFUNCTION("IMPORTRANGE(""https://docs.google.com/spreadsheets/d/11923uPwbBZFjjGgGUA6NLw09EwE0CqkOc4q9oUmW1yo/edit?usp=sharing"",""นครสวรรค์!J365"")"),695)</f>
        <v>695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IFERROR(__xludf.DUMMYFUNCTION("IMPORTRANGE(""https://docs.google.com/spreadsheets/d/11923uPwbBZFjjGgGUA6NLw09EwE0CqkOc4q9oUmW1yo/edit?usp=sharing"",""นครสวรรค์!I366"")"),0)</f>
        <v>0</v>
      </c>
      <c r="J471" s="198">
        <f ca="1">IFERROR(__xludf.DUMMYFUNCTION("IMPORTRANGE(""https://docs.google.com/spreadsheets/d/11923uPwbBZFjjGgGUA6NLw09EwE0CqkOc4q9oUmW1yo/edit?usp=sharing"",""นครสวรรค์!J366"")"),1546)</f>
        <v>1546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IFERROR(__xludf.DUMMYFUNCTION("IMPORTRANGE(""https://docs.google.com/spreadsheets/d/11923uPwbBZFjjGgGUA6NLw09EwE0CqkOc4q9oUmW1yo/edit?usp=sharing"",""นครสวรรค์!I367"")"),0)</f>
        <v>0</v>
      </c>
      <c r="J472" s="198">
        <f ca="1">IFERROR(__xludf.DUMMYFUNCTION("IMPORTRANGE(""https://docs.google.com/spreadsheets/d/11923uPwbBZFjjGgGUA6NLw09EwE0CqkOc4q9oUmW1yo/edit?usp=sharing"",""นครสวรรค์!J367"")"),138)</f>
        <v>138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IFERROR(__xludf.DUMMYFUNCTION("IMPORTRANGE(""https://docs.google.com/spreadsheets/d/11923uPwbBZFjjGgGUA6NLw09EwE0CqkOc4q9oUmW1yo/edit?usp=sharing"",""นครสวรรค์!I368"")"),40137)</f>
        <v>40137</v>
      </c>
      <c r="J473" s="428">
        <f ca="1">IFERROR(__xludf.DUMMYFUNCTION("IMPORTRANGE(""https://docs.google.com/spreadsheets/d/11923uPwbBZFjjGgGUA6NLw09EwE0CqkOc4q9oUmW1yo/edit?usp=sharing"",""นครสวรรค์!J368"")"),0)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IFERROR(__xludf.DUMMYFUNCTION("IMPORTRANGE(""https://docs.google.com/spreadsheets/d/11923uPwbBZFjjGgGUA6NLw09EwE0CqkOc4q9oUmW1yo/edit?usp=sharing"",""นครสวรรค์!I369"")"),3128)</f>
        <v>3128</v>
      </c>
      <c r="J474" s="428">
        <f ca="1">IFERROR(__xludf.DUMMYFUNCTION("IMPORTRANGE(""https://docs.google.com/spreadsheets/d/11923uPwbBZFjjGgGUA6NLw09EwE0CqkOc4q9oUmW1yo/edit?usp=sharing"",""นครสวรรค์!J369"")"),0)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IFERROR(__xludf.DUMMYFUNCTION("IMPORTRANGE(""https://docs.google.com/spreadsheets/d/11923uPwbBZFjjGgGUA6NLw09EwE0CqkOc4q9oUmW1yo/edit?usp=sharing"",""นครสวรรค์!I370"")"),0)</f>
        <v>0</v>
      </c>
      <c r="J475" s="198">
        <f ca="1">IFERROR(__xludf.DUMMYFUNCTION("IMPORTRANGE(""https://docs.google.com/spreadsheets/d/11923uPwbBZFjjGgGUA6NLw09EwE0CqkOc4q9oUmW1yo/edit?usp=sharing"",""นครสวรรค์!J370"")"),0)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IFERROR(__xludf.DUMMYFUNCTION("IMPORTRANGE(""https://docs.google.com/spreadsheets/d/11923uPwbBZFjjGgGUA6NLw09EwE0CqkOc4q9oUmW1yo/edit?usp=sharing"",""นครสวรรค์!I371"")"),0)</f>
        <v>0</v>
      </c>
      <c r="J476" s="198">
        <f ca="1">IFERROR(__xludf.DUMMYFUNCTION("IMPORTRANGE(""https://docs.google.com/spreadsheets/d/11923uPwbBZFjjGgGUA6NLw09EwE0CqkOc4q9oUmW1yo/edit?usp=sharing"",""นครสวรรค์!J371"")"),0)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IFERROR(__xludf.DUMMYFUNCTION("IMPORTRANGE(""https://docs.google.com/spreadsheets/d/11923uPwbBZFjjGgGUA6NLw09EwE0CqkOc4q9oUmW1yo/edit?usp=sharing"",""นครสวรรค์!I372"")"),0)</f>
        <v>0</v>
      </c>
      <c r="J477" s="198">
        <f ca="1">IFERROR(__xludf.DUMMYFUNCTION("IMPORTRANGE(""https://docs.google.com/spreadsheets/d/11923uPwbBZFjjGgGUA6NLw09EwE0CqkOc4q9oUmW1yo/edit?usp=sharing"",""นครสวรรค์!J372"")"),0)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IFERROR(__xludf.DUMMYFUNCTION("IMPORTRANGE(""https://docs.google.com/spreadsheets/d/11923uPwbBZFjjGgGUA6NLw09EwE0CqkOc4q9oUmW1yo/edit?usp=sharing"",""นครสวรรค์!I373"")"),0)</f>
        <v>0</v>
      </c>
      <c r="J478" s="198">
        <f ca="1">IFERROR(__xludf.DUMMYFUNCTION("IMPORTRANGE(""https://docs.google.com/spreadsheets/d/11923uPwbBZFjjGgGUA6NLw09EwE0CqkOc4q9oUmW1yo/edit?usp=sharing"",""นครสวรรค์!J373"")"),0)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IFERROR(__xludf.DUMMYFUNCTION("IMPORTRANGE(""https://docs.google.com/spreadsheets/d/11923uPwbBZFjjGgGUA6NLw09EwE0CqkOc4q9oUmW1yo/edit?usp=sharing"",""นครสวรรค์!I374"")"),0)</f>
        <v>0</v>
      </c>
      <c r="J479" s="198">
        <f ca="1">IFERROR(__xludf.DUMMYFUNCTION("IMPORTRANGE(""https://docs.google.com/spreadsheets/d/11923uPwbBZFjjGgGUA6NLw09EwE0CqkOc4q9oUmW1yo/edit?usp=sharing"",""นครสวรรค์!J374"")"),0)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IFERROR(__xludf.DUMMYFUNCTION("IMPORTRANGE(""https://docs.google.com/spreadsheets/d/11923uPwbBZFjjGgGUA6NLw09EwE0CqkOc4q9oUmW1yo/edit?usp=sharing"",""นครสวรรค์!I375"")"),0)</f>
        <v>0</v>
      </c>
      <c r="J480" s="198">
        <f ca="1">IFERROR(__xludf.DUMMYFUNCTION("IMPORTRANGE(""https://docs.google.com/spreadsheets/d/11923uPwbBZFjjGgGUA6NLw09EwE0CqkOc4q9oUmW1yo/edit?usp=sharing"",""นครสวรรค์!J375"")"),0)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IFERROR(__xludf.DUMMYFUNCTION("IMPORTRANGE(""https://docs.google.com/spreadsheets/d/11923uPwbBZFjjGgGUA6NLw09EwE0CqkOc4q9oUmW1yo/edit?usp=sharing"",""นครสวรรค์!I376"")"),40137)</f>
        <v>40137</v>
      </c>
      <c r="J481" s="428">
        <f ca="1">IFERROR(__xludf.DUMMYFUNCTION("IMPORTRANGE(""https://docs.google.com/spreadsheets/d/11923uPwbBZFjjGgGUA6NLw09EwE0CqkOc4q9oUmW1yo/edit?usp=sharing"",""นครสวรรค์!J376"")"),0)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IFERROR(__xludf.DUMMYFUNCTION("IMPORTRANGE(""https://docs.google.com/spreadsheets/d/11923uPwbBZFjjGgGUA6NLw09EwE0CqkOc4q9oUmW1yo/edit?usp=sharing"",""นครสวรรค์!I377"")"),3128)</f>
        <v>3128</v>
      </c>
      <c r="J482" s="428">
        <f ca="1">IFERROR(__xludf.DUMMYFUNCTION("IMPORTRANGE(""https://docs.google.com/spreadsheets/d/11923uPwbBZFjjGgGUA6NLw09EwE0CqkOc4q9oUmW1yo/edit?usp=sharing"",""นครสวรรค์!J377"")"),0)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IFERROR(__xludf.DUMMYFUNCTION("IMPORTRANGE(""https://docs.google.com/spreadsheets/d/11923uPwbBZFjjGgGUA6NLw09EwE0CqkOc4q9oUmW1yo/edit?usp=sharing"",""นครสวรรค์!I378"")"),0)</f>
        <v>0</v>
      </c>
      <c r="J483" s="198">
        <f ca="1">IFERROR(__xludf.DUMMYFUNCTION("IMPORTRANGE(""https://docs.google.com/spreadsheets/d/11923uPwbBZFjjGgGUA6NLw09EwE0CqkOc4q9oUmW1yo/edit?usp=sharing"",""นครสวรรค์!J378"")"),0)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IFERROR(__xludf.DUMMYFUNCTION("IMPORTRANGE(""https://docs.google.com/spreadsheets/d/11923uPwbBZFjjGgGUA6NLw09EwE0CqkOc4q9oUmW1yo/edit?usp=sharing"",""นครสวรรค์!I379"")"),0)</f>
        <v>0</v>
      </c>
      <c r="J484" s="198">
        <f ca="1">IFERROR(__xludf.DUMMYFUNCTION("IMPORTRANGE(""https://docs.google.com/spreadsheets/d/11923uPwbBZFjjGgGUA6NLw09EwE0CqkOc4q9oUmW1yo/edit?usp=sharing"",""นครสวรรค์!J379"")"),0)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IFERROR(__xludf.DUMMYFUNCTION("IMPORTRANGE(""https://docs.google.com/spreadsheets/d/11923uPwbBZFjjGgGUA6NLw09EwE0CqkOc4q9oUmW1yo/edit?usp=sharing"",""นครสวรรค์!I380"")"),0)</f>
        <v>0</v>
      </c>
      <c r="J485" s="198">
        <f ca="1">IFERROR(__xludf.DUMMYFUNCTION("IMPORTRANGE(""https://docs.google.com/spreadsheets/d/11923uPwbBZFjjGgGUA6NLw09EwE0CqkOc4q9oUmW1yo/edit?usp=sharing"",""นครสวรรค์!J380"")"),0)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IFERROR(__xludf.DUMMYFUNCTION("IMPORTRANGE(""https://docs.google.com/spreadsheets/d/11923uPwbBZFjjGgGUA6NLw09EwE0CqkOc4q9oUmW1yo/edit?usp=sharing"",""นครสวรรค์!I381"")"),0)</f>
        <v>0</v>
      </c>
      <c r="J486" s="198">
        <f ca="1">IFERROR(__xludf.DUMMYFUNCTION("IMPORTRANGE(""https://docs.google.com/spreadsheets/d/11923uPwbBZFjjGgGUA6NLw09EwE0CqkOc4q9oUmW1yo/edit?usp=sharing"",""นครสวรรค์!J381"")"),0)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IFERROR(__xludf.DUMMYFUNCTION("IMPORTRANGE(""https://docs.google.com/spreadsheets/d/11923uPwbBZFjjGgGUA6NLw09EwE0CqkOc4q9oUmW1yo/edit?usp=sharing"",""นครสวรรค์!I382"")"),0)</f>
        <v>0</v>
      </c>
      <c r="J487" s="428">
        <f ca="1">IFERROR(__xludf.DUMMYFUNCTION("IMPORTRANGE(""https://docs.google.com/spreadsheets/d/11923uPwbBZFjjGgGUA6NLw09EwE0CqkOc4q9oUmW1yo/edit?usp=sharing"",""นครสวรรค์!J382"")"),0)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IFERROR(__xludf.DUMMYFUNCTION("IMPORTRANGE(""https://docs.google.com/spreadsheets/d/11923uPwbBZFjjGgGUA6NLw09EwE0CqkOc4q9oUmW1yo/edit?usp=sharing"",""นครสวรรค์!I383"")"),0)</f>
        <v>0</v>
      </c>
      <c r="J488" s="428">
        <f ca="1">IFERROR(__xludf.DUMMYFUNCTION("IMPORTRANGE(""https://docs.google.com/spreadsheets/d/11923uPwbBZFjjGgGUA6NLw09EwE0CqkOc4q9oUmW1yo/edit?usp=sharing"",""นครสวรรค์!J383"")"),0)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IFERROR(__xludf.DUMMYFUNCTION("IMPORTRANGE(""https://docs.google.com/spreadsheets/d/11923uPwbBZFjjGgGUA6NLw09EwE0CqkOc4q9oUmW1yo/edit?usp=sharing"",""นครสวรรค์!I384"")"),0)</f>
        <v>0</v>
      </c>
      <c r="J489" s="198">
        <f ca="1">IFERROR(__xludf.DUMMYFUNCTION("IMPORTRANGE(""https://docs.google.com/spreadsheets/d/11923uPwbBZFjjGgGUA6NLw09EwE0CqkOc4q9oUmW1yo/edit?usp=sharing"",""นครสวรรค์!J384"")"),0)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IFERROR(__xludf.DUMMYFUNCTION("IMPORTRANGE(""https://docs.google.com/spreadsheets/d/11923uPwbBZFjjGgGUA6NLw09EwE0CqkOc4q9oUmW1yo/edit?usp=sharing"",""นครสวรรค์!I385"")"),0)</f>
        <v>0</v>
      </c>
      <c r="J490" s="198">
        <f ca="1">IFERROR(__xludf.DUMMYFUNCTION("IMPORTRANGE(""https://docs.google.com/spreadsheets/d/11923uPwbBZFjjGgGUA6NLw09EwE0CqkOc4q9oUmW1yo/edit?usp=sharing"",""นครสวรรค์!J385"")"),0)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IFERROR(__xludf.DUMMYFUNCTION("IMPORTRANGE(""https://docs.google.com/spreadsheets/d/11923uPwbBZFjjGgGUA6NLw09EwE0CqkOc4q9oUmW1yo/edit?usp=sharing"",""นครสวรรค์!I386"")"),0)</f>
        <v>0</v>
      </c>
      <c r="J491" s="198">
        <f ca="1">IFERROR(__xludf.DUMMYFUNCTION("IMPORTRANGE(""https://docs.google.com/spreadsheets/d/11923uPwbBZFjjGgGUA6NLw09EwE0CqkOc4q9oUmW1yo/edit?usp=sharing"",""นครสวรรค์!J386"")"),0)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IFERROR(__xludf.DUMMYFUNCTION("IMPORTRANGE(""https://docs.google.com/spreadsheets/d/11923uPwbBZFjjGgGUA6NLw09EwE0CqkOc4q9oUmW1yo/edit?usp=sharing"",""นครสวรรค์!I387"")"),0)</f>
        <v>0</v>
      </c>
      <c r="J492" s="198">
        <f ca="1">IFERROR(__xludf.DUMMYFUNCTION("IMPORTRANGE(""https://docs.google.com/spreadsheets/d/11923uPwbBZFjjGgGUA6NLw09EwE0CqkOc4q9oUmW1yo/edit?usp=sharing"",""นครสวรรค์!J387"")"),0)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IFERROR(__xludf.DUMMYFUNCTION("IMPORTRANGE(""https://docs.google.com/spreadsheets/d/11923uPwbBZFjjGgGUA6NLw09EwE0CqkOc4q9oUmW1yo/edit?usp=sharing"",""นครสวรรค์!I388"")"),0)</f>
        <v>0</v>
      </c>
      <c r="J493" s="198">
        <f ca="1">IFERROR(__xludf.DUMMYFUNCTION("IMPORTRANGE(""https://docs.google.com/spreadsheets/d/11923uPwbBZFjjGgGUA6NLw09EwE0CqkOc4q9oUmW1yo/edit?usp=sharing"",""นครสวรรค์!J388"")"),0)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IFERROR(__xludf.DUMMYFUNCTION("IMPORTRANGE(""https://docs.google.com/spreadsheets/d/11923uPwbBZFjjGgGUA6NLw09EwE0CqkOc4q9oUmW1yo/edit?usp=sharing"",""นครสวรรค์!I389"")"),0)</f>
        <v>0</v>
      </c>
      <c r="J494" s="444">
        <f ca="1">IFERROR(__xludf.DUMMYFUNCTION("IMPORTRANGE(""https://docs.google.com/spreadsheets/d/11923uPwbBZFjjGgGUA6NLw09EwE0CqkOc4q9oUmW1yo/edit?usp=sharing"",""นครสวรรค์!J389"")"),0)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IFERROR(__xludf.DUMMYFUNCTION("IMPORTRANGE(""https://docs.google.com/spreadsheets/d/11923uPwbBZFjjGgGUA6NLw09EwE0CqkOc4q9oUmW1yo/edit?usp=sharing"",""นครสวรรค์!I390"")"),0)</f>
        <v>0</v>
      </c>
      <c r="J495" s="444">
        <f ca="1">IFERROR(__xludf.DUMMYFUNCTION("IMPORTRANGE(""https://docs.google.com/spreadsheets/d/11923uPwbBZFjjGgGUA6NLw09EwE0CqkOc4q9oUmW1yo/edit?usp=sharing"",""นครสวรรค์!J390"")"),0)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IFERROR(__xludf.DUMMYFUNCTION("IMPORTRANGE(""https://docs.google.com/spreadsheets/d/11923uPwbBZFjjGgGUA6NLw09EwE0CqkOc4q9oUmW1yo/edit?usp=sharing"",""นครสวรรค์!I391"")"),0)</f>
        <v>0</v>
      </c>
      <c r="J496" s="444">
        <f ca="1">IFERROR(__xludf.DUMMYFUNCTION("IMPORTRANGE(""https://docs.google.com/spreadsheets/d/11923uPwbBZFjjGgGUA6NLw09EwE0CqkOc4q9oUmW1yo/edit?usp=sharing"",""นครสวรรค์!J391"")"),0)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IFERROR(__xludf.DUMMYFUNCTION("IMPORTRANGE(""https://docs.google.com/spreadsheets/d/11923uPwbBZFjjGgGUA6NLw09EwE0CqkOc4q9oUmW1yo/edit?usp=sharing"",""นครสวรรค์!I392"")"),1984)</f>
        <v>1984</v>
      </c>
      <c r="J497" s="451">
        <f ca="1">IFERROR(__xludf.DUMMYFUNCTION("IMPORTRANGE(""https://docs.google.com/spreadsheets/d/11923uPwbBZFjjGgGUA6NLw09EwE0CqkOc4q9oUmW1yo/edit?usp=sharing"",""นครสวรรค์!J392"")"),0)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IFERROR(__xludf.DUMMYFUNCTION("IMPORTRANGE(""https://docs.google.com/spreadsheets/d/11923uPwbBZFjjGgGUA6NLw09EwE0CqkOc4q9oUmW1yo/edit?usp=sharing"",""นครสวรรค์!I393"")"),1984)</f>
        <v>1984</v>
      </c>
      <c r="J498" s="428">
        <f ca="1">IFERROR(__xludf.DUMMYFUNCTION("IMPORTRANGE(""https://docs.google.com/spreadsheets/d/11923uPwbBZFjjGgGUA6NLw09EwE0CqkOc4q9oUmW1yo/edit?usp=sharing"",""นครสวรรค์!J393"")"),0)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IFERROR(__xludf.DUMMYFUNCTION("IMPORTRANGE(""https://docs.google.com/spreadsheets/d/11923uPwbBZFjjGgGUA6NLw09EwE0CqkOc4q9oUmW1yo/edit?usp=sharing"",""นครสวรรค์!I394"")"),117)</f>
        <v>117</v>
      </c>
      <c r="J499" s="428">
        <f ca="1">IFERROR(__xludf.DUMMYFUNCTION("IMPORTRANGE(""https://docs.google.com/spreadsheets/d/11923uPwbBZFjjGgGUA6NLw09EwE0CqkOc4q9oUmW1yo/edit?usp=sharing"",""นครสวรรค์!J394"")"),0)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IFERROR(__xludf.DUMMYFUNCTION("IMPORTRANGE(""https://docs.google.com/spreadsheets/d/11923uPwbBZFjjGgGUA6NLw09EwE0CqkOc4q9oUmW1yo/edit?usp=sharing"",""นครสวรรค์!I395"")"),0)</f>
        <v>0</v>
      </c>
      <c r="J500" s="170">
        <f ca="1">IFERROR(__xludf.DUMMYFUNCTION("IMPORTRANGE(""https://docs.google.com/spreadsheets/d/11923uPwbBZFjjGgGUA6NLw09EwE0CqkOc4q9oUmW1yo/edit?usp=sharing"",""นครสวรรค์!J395"")"),0)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IFERROR(__xludf.DUMMYFUNCTION("IMPORTRANGE(""https://docs.google.com/spreadsheets/d/11923uPwbBZFjjGgGUA6NLw09EwE0CqkOc4q9oUmW1yo/edit?usp=sharing"",""นครสวรรค์!I396"")"),0)</f>
        <v>0</v>
      </c>
      <c r="J501" s="170">
        <f ca="1">IFERROR(__xludf.DUMMYFUNCTION("IMPORTRANGE(""https://docs.google.com/spreadsheets/d/11923uPwbBZFjjGgGUA6NLw09EwE0CqkOc4q9oUmW1yo/edit?usp=sharing"",""นครสวรรค์!J396"")"),0)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IFERROR(__xludf.DUMMYFUNCTION("IMPORTRANGE(""https://docs.google.com/spreadsheets/d/11923uPwbBZFjjGgGUA6NLw09EwE0CqkOc4q9oUmW1yo/edit?usp=sharing"",""นครสวรรค์!I397"")"),0)</f>
        <v>0</v>
      </c>
      <c r="J502" s="198">
        <f ca="1">IFERROR(__xludf.DUMMYFUNCTION("IMPORTRANGE(""https://docs.google.com/spreadsheets/d/11923uPwbBZFjjGgGUA6NLw09EwE0CqkOc4q9oUmW1yo/edit?usp=sharing"",""นครสวรรค์!J397"")"),0)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IFERROR(__xludf.DUMMYFUNCTION("IMPORTRANGE(""https://docs.google.com/spreadsheets/d/11923uPwbBZFjjGgGUA6NLw09EwE0CqkOc4q9oUmW1yo/edit?usp=sharing"",""นครสวรรค์!I398"")"),0)</f>
        <v>0</v>
      </c>
      <c r="J503" s="207">
        <f ca="1">IFERROR(__xludf.DUMMYFUNCTION("IMPORTRANGE(""https://docs.google.com/spreadsheets/d/11923uPwbBZFjjGgGUA6NLw09EwE0CqkOc4q9oUmW1yo/edit?usp=sharing"",""นครสวรรค์!J398"")"),0)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IFERROR(__xludf.DUMMYFUNCTION("IMPORTRANGE(""https://docs.google.com/spreadsheets/d/11923uPwbBZFjjGgGUA6NLw09EwE0CqkOc4q9oUmW1yo/edit?usp=sharing"",""นครสวรรค์!I399"")"),0)</f>
        <v>0</v>
      </c>
      <c r="J504" s="198">
        <f ca="1">IFERROR(__xludf.DUMMYFUNCTION("IMPORTRANGE(""https://docs.google.com/spreadsheets/d/11923uPwbBZFjjGgGUA6NLw09EwE0CqkOc4q9oUmW1yo/edit?usp=sharing"",""นครสวรรค์!J399"")"),0)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IFERROR(__xludf.DUMMYFUNCTION("IMPORTRANGE(""https://docs.google.com/spreadsheets/d/11923uPwbBZFjjGgGUA6NLw09EwE0CqkOc4q9oUmW1yo/edit?usp=sharing"",""นครสวรรค์!I400"")"),0)</f>
        <v>0</v>
      </c>
      <c r="J505" s="207">
        <f ca="1">IFERROR(__xludf.DUMMYFUNCTION("IMPORTRANGE(""https://docs.google.com/spreadsheets/d/11923uPwbBZFjjGgGUA6NLw09EwE0CqkOc4q9oUmW1yo/edit?usp=sharing"",""นครสวรรค์!J400"")"),0)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IFERROR(__xludf.DUMMYFUNCTION("IMPORTRANGE(""https://docs.google.com/spreadsheets/d/11923uPwbBZFjjGgGUA6NLw09EwE0CqkOc4q9oUmW1yo/edit?usp=sharing"",""นครสวรรค์!I401"")"),0)</f>
        <v>0</v>
      </c>
      <c r="J506" s="198">
        <f ca="1">IFERROR(__xludf.DUMMYFUNCTION("IMPORTRANGE(""https://docs.google.com/spreadsheets/d/11923uPwbBZFjjGgGUA6NLw09EwE0CqkOc4q9oUmW1yo/edit?usp=sharing"",""นครสวรรค์!J401"")"),0)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IFERROR(__xludf.DUMMYFUNCTION("IMPORTRANGE(""https://docs.google.com/spreadsheets/d/11923uPwbBZFjjGgGUA6NLw09EwE0CqkOc4q9oUmW1yo/edit?usp=sharing"",""นครสวรรค์!I402"")"),0)</f>
        <v>0</v>
      </c>
      <c r="J507" s="207">
        <f ca="1">IFERROR(__xludf.DUMMYFUNCTION("IMPORTRANGE(""https://docs.google.com/spreadsheets/d/11923uPwbBZFjjGgGUA6NLw09EwE0CqkOc4q9oUmW1yo/edit?usp=sharing"",""นครสวรรค์!J402"")"),0)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IFERROR(__xludf.DUMMYFUNCTION("IMPORTRANGE(""https://docs.google.com/spreadsheets/d/11923uPwbBZFjjGgGUA6NLw09EwE0CqkOc4q9oUmW1yo/edit?usp=sharing"",""นครสวรรค์!I403"")"),0)</f>
        <v>0</v>
      </c>
      <c r="J508" s="170">
        <f ca="1">IFERROR(__xludf.DUMMYFUNCTION("IMPORTRANGE(""https://docs.google.com/spreadsheets/d/11923uPwbBZFjjGgGUA6NLw09EwE0CqkOc4q9oUmW1yo/edit?usp=sharing"",""นครสวรรค์!J403"")"),0)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IFERROR(__xludf.DUMMYFUNCTION("IMPORTRANGE(""https://docs.google.com/spreadsheets/d/11923uPwbBZFjjGgGUA6NLw09EwE0CqkOc4q9oUmW1yo/edit?usp=sharing"",""นครสวรรค์!I404"")"),0)</f>
        <v>0</v>
      </c>
      <c r="J509" s="170">
        <f ca="1">IFERROR(__xludf.DUMMYFUNCTION("IMPORTRANGE(""https://docs.google.com/spreadsheets/d/11923uPwbBZFjjGgGUA6NLw09EwE0CqkOc4q9oUmW1yo/edit?usp=sharing"",""นครสวรรค์!J404"")"),0)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IFERROR(__xludf.DUMMYFUNCTION("IMPORTRANGE(""https://docs.google.com/spreadsheets/d/11923uPwbBZFjjGgGUA6NLw09EwE0CqkOc4q9oUmW1yo/edit?usp=sharing"",""นครสวรรค์!I405"")"),0)</f>
        <v>0</v>
      </c>
      <c r="J510" s="207">
        <f ca="1">IFERROR(__xludf.DUMMYFUNCTION("IMPORTRANGE(""https://docs.google.com/spreadsheets/d/11923uPwbBZFjjGgGUA6NLw09EwE0CqkOc4q9oUmW1yo/edit?usp=sharing"",""นครสวรรค์!J405"")"),0)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IFERROR(__xludf.DUMMYFUNCTION("IMPORTRANGE(""https://docs.google.com/spreadsheets/d/11923uPwbBZFjjGgGUA6NLw09EwE0CqkOc4q9oUmW1yo/edit?usp=sharing"",""นครสวรรค์!I406"")"),0)</f>
        <v>0</v>
      </c>
      <c r="J511" s="207">
        <f ca="1">IFERROR(__xludf.DUMMYFUNCTION("IMPORTRANGE(""https://docs.google.com/spreadsheets/d/11923uPwbBZFjjGgGUA6NLw09EwE0CqkOc4q9oUmW1yo/edit?usp=sharing"",""นครสวรรค์!J406"")"),0)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IFERROR(__xludf.DUMMYFUNCTION("IMPORTRANGE(""https://docs.google.com/spreadsheets/d/11923uPwbBZFjjGgGUA6NLw09EwE0CqkOc4q9oUmW1yo/edit?usp=sharing"",""นครสวรรค์!I407"")"),0)</f>
        <v>0</v>
      </c>
      <c r="J512" s="207">
        <f ca="1">IFERROR(__xludf.DUMMYFUNCTION("IMPORTRANGE(""https://docs.google.com/spreadsheets/d/11923uPwbBZFjjGgGUA6NLw09EwE0CqkOc4q9oUmW1yo/edit?usp=sharing"",""นครสวรรค์!J407"")"),0)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IFERROR(__xludf.DUMMYFUNCTION("IMPORTRANGE(""https://docs.google.com/spreadsheets/d/11923uPwbBZFjjGgGUA6NLw09EwE0CqkOc4q9oUmW1yo/edit?usp=sharing"",""นครสวรรค์!I408"")"),0)</f>
        <v>0</v>
      </c>
      <c r="J513" s="207">
        <f ca="1">IFERROR(__xludf.DUMMYFUNCTION("IMPORTRANGE(""https://docs.google.com/spreadsheets/d/11923uPwbBZFjjGgGUA6NLw09EwE0CqkOc4q9oUmW1yo/edit?usp=sharing"",""นครสวรรค์!J408"")"),0)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IFERROR(__xludf.DUMMYFUNCTION("IMPORTRANGE(""https://docs.google.com/spreadsheets/d/11923uPwbBZFjjGgGUA6NLw09EwE0CqkOc4q9oUmW1yo/edit?usp=sharing"",""นครสวรรค์!I409"")"),0)</f>
        <v>0</v>
      </c>
      <c r="J514" s="207">
        <f ca="1">IFERROR(__xludf.DUMMYFUNCTION("IMPORTRANGE(""https://docs.google.com/spreadsheets/d/11923uPwbBZFjjGgGUA6NLw09EwE0CqkOc4q9oUmW1yo/edit?usp=sharing"",""นครสวรรค์!J409"")"),0)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IFERROR(__xludf.DUMMYFUNCTION("IMPORTRANGE(""https://docs.google.com/spreadsheets/d/11923uPwbBZFjjGgGUA6NLw09EwE0CqkOc4q9oUmW1yo/edit?usp=sharing"",""นครสวรรค์!I410"")"),0)</f>
        <v>0</v>
      </c>
      <c r="J515" s="207">
        <f ca="1">IFERROR(__xludf.DUMMYFUNCTION("IMPORTRANGE(""https://docs.google.com/spreadsheets/d/11923uPwbBZFjjGgGUA6NLw09EwE0CqkOc4q9oUmW1yo/edit?usp=sharing"",""นครสวรรค์!J410"")"),0)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IFERROR(__xludf.DUMMYFUNCTION("IMPORTRANGE(""https://docs.google.com/spreadsheets/d/11923uPwbBZFjjGgGUA6NLw09EwE0CqkOc4q9oUmW1yo/edit?usp=sharing"",""นครสวรรค์!I411"")"),0)</f>
        <v>0</v>
      </c>
      <c r="J516" s="276">
        <f ca="1">IFERROR(__xludf.DUMMYFUNCTION("IMPORTRANGE(""https://docs.google.com/spreadsheets/d/11923uPwbBZFjjGgGUA6NLw09EwE0CqkOc4q9oUmW1yo/edit?usp=sharing"",""นครสวรรค์!J411"")"),0)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IFERROR(__xludf.DUMMYFUNCTION("IMPORTRANGE(""https://docs.google.com/spreadsheets/d/11923uPwbBZFjjGgGUA6NLw09EwE0CqkOc4q9oUmW1yo/edit?usp=sharing"",""นครสวรรค์!I412"")"),0)</f>
        <v>0</v>
      </c>
      <c r="J517" s="292">
        <f ca="1">IFERROR(__xludf.DUMMYFUNCTION("IMPORTRANGE(""https://docs.google.com/spreadsheets/d/11923uPwbBZFjjGgGUA6NLw09EwE0CqkOc4q9oUmW1yo/edit?usp=sharing"",""นครสวรรค์!J412"")"),0)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IFERROR(__xludf.DUMMYFUNCTION("IMPORTRANGE(""https://docs.google.com/spreadsheets/d/11923uPwbBZFjjGgGUA6NLw09EwE0CqkOc4q9oUmW1yo/edit?usp=sharing"",""นครสวรรค์!I413"")"),0)</f>
        <v>0</v>
      </c>
      <c r="J518" s="292">
        <f ca="1">IFERROR(__xludf.DUMMYFUNCTION("IMPORTRANGE(""https://docs.google.com/spreadsheets/d/11923uPwbBZFjjGgGUA6NLw09EwE0CqkOc4q9oUmW1yo/edit?usp=sharing"",""นครสวรรค์!J413"")"),0)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IFERROR(__xludf.DUMMYFUNCTION("IMPORTRANGE(""https://docs.google.com/spreadsheets/d/11923uPwbBZFjjGgGUA6NLw09EwE0CqkOc4q9oUmW1yo/edit?usp=sharing"",""นครสวรรค์!I414"")"),0)</f>
        <v>0</v>
      </c>
      <c r="J519" s="197">
        <f ca="1">IFERROR(__xludf.DUMMYFUNCTION("IMPORTRANGE(""https://docs.google.com/spreadsheets/d/11923uPwbBZFjjGgGUA6NLw09EwE0CqkOc4q9oUmW1yo/edit?usp=sharing"",""นครสวรรค์!J414"")"),0)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IFERROR(__xludf.DUMMYFUNCTION("IMPORTRANGE(""https://docs.google.com/spreadsheets/d/11923uPwbBZFjjGgGUA6NLw09EwE0CqkOc4q9oUmW1yo/edit?usp=sharing"",""นครสวรรค์!I415"")"),0)</f>
        <v>0</v>
      </c>
      <c r="J520" s="197">
        <f ca="1">IFERROR(__xludf.DUMMYFUNCTION("IMPORTRANGE(""https://docs.google.com/spreadsheets/d/11923uPwbBZFjjGgGUA6NLw09EwE0CqkOc4q9oUmW1yo/edit?usp=sharing"",""นครสวรรค์!J415"")"),0)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IFERROR(__xludf.DUMMYFUNCTION("IMPORTRANGE(""https://docs.google.com/spreadsheets/d/11923uPwbBZFjjGgGUA6NLw09EwE0CqkOc4q9oUmW1yo/edit?usp=sharing"",""นครสวรรค์!I416"")"),0)</f>
        <v>0</v>
      </c>
      <c r="J521" s="197">
        <f ca="1">IFERROR(__xludf.DUMMYFUNCTION("IMPORTRANGE(""https://docs.google.com/spreadsheets/d/11923uPwbBZFjjGgGUA6NLw09EwE0CqkOc4q9oUmW1yo/edit?usp=sharing"",""นครสวรรค์!J416"")"),0)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IFERROR(__xludf.DUMMYFUNCTION("IMPORTRANGE(""https://docs.google.com/spreadsheets/d/11923uPwbBZFjjGgGUA6NLw09EwE0CqkOc4q9oUmW1yo/edit?usp=sharing"",""นครสวรรค์!I417"")"),0)</f>
        <v>0</v>
      </c>
      <c r="J522" s="197">
        <f ca="1">IFERROR(__xludf.DUMMYFUNCTION("IMPORTRANGE(""https://docs.google.com/spreadsheets/d/11923uPwbBZFjjGgGUA6NLw09EwE0CqkOc4q9oUmW1yo/edit?usp=sharing"",""นครสวรรค์!J417"")"),0)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IFERROR(__xludf.DUMMYFUNCTION("IMPORTRANGE(""https://docs.google.com/spreadsheets/d/11923uPwbBZFjjGgGUA6NLw09EwE0CqkOc4q9oUmW1yo/edit?usp=sharing"",""นครสวรรค์!I418"")"),0)</f>
        <v>0</v>
      </c>
      <c r="J523" s="197">
        <f ca="1">IFERROR(__xludf.DUMMYFUNCTION("IMPORTRANGE(""https://docs.google.com/spreadsheets/d/11923uPwbBZFjjGgGUA6NLw09EwE0CqkOc4q9oUmW1yo/edit?usp=sharing"",""นครสวรรค์!J418"")"),0)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IFERROR(__xludf.DUMMYFUNCTION("IMPORTRANGE(""https://docs.google.com/spreadsheets/d/11923uPwbBZFjjGgGUA6NLw09EwE0CqkOc4q9oUmW1yo/edit?usp=sharing"",""นครสวรรค์!I419"")"),0)</f>
        <v>0</v>
      </c>
      <c r="J524" s="197">
        <f ca="1">IFERROR(__xludf.DUMMYFUNCTION("IMPORTRANGE(""https://docs.google.com/spreadsheets/d/11923uPwbBZFjjGgGUA6NLw09EwE0CqkOc4q9oUmW1yo/edit?usp=sharing"",""นครสวรรค์!J419"")"),0)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IFERROR(__xludf.DUMMYFUNCTION("IMPORTRANGE(""https://docs.google.com/spreadsheets/d/11923uPwbBZFjjGgGUA6NLw09EwE0CqkOc4q9oUmW1yo/edit?usp=sharing"",""นครสวรรค์!I420"")"),0)</f>
        <v>0</v>
      </c>
      <c r="J525" s="292">
        <f ca="1">IFERROR(__xludf.DUMMYFUNCTION("IMPORTRANGE(""https://docs.google.com/spreadsheets/d/11923uPwbBZFjjGgGUA6NLw09EwE0CqkOc4q9oUmW1yo/edit?usp=sharing"",""นครสวรรค์!J420"")"),0)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IFERROR(__xludf.DUMMYFUNCTION("IMPORTRANGE(""https://docs.google.com/spreadsheets/d/11923uPwbBZFjjGgGUA6NLw09EwE0CqkOc4q9oUmW1yo/edit?usp=sharing"",""นครสวรรค์!I421"")"),0)</f>
        <v>0</v>
      </c>
      <c r="J526" s="292">
        <f ca="1">IFERROR(__xludf.DUMMYFUNCTION("IMPORTRANGE(""https://docs.google.com/spreadsheets/d/11923uPwbBZFjjGgGUA6NLw09EwE0CqkOc4q9oUmW1yo/edit?usp=sharing"",""นครสวรรค์!J421"")"),0)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IFERROR(__xludf.DUMMYFUNCTION("IMPORTRANGE(""https://docs.google.com/spreadsheets/d/11923uPwbBZFjjGgGUA6NLw09EwE0CqkOc4q9oUmW1yo/edit?usp=sharing"",""นครสวรรค์!I422"")"),0)</f>
        <v>0</v>
      </c>
      <c r="J527" s="207">
        <f ca="1">IFERROR(__xludf.DUMMYFUNCTION("IMPORTRANGE(""https://docs.google.com/spreadsheets/d/11923uPwbBZFjjGgGUA6NLw09EwE0CqkOc4q9oUmW1yo/edit?usp=sharing"",""นครสวรรค์!J422"")"),0)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IFERROR(__xludf.DUMMYFUNCTION("IMPORTRANGE(""https://docs.google.com/spreadsheets/d/11923uPwbBZFjjGgGUA6NLw09EwE0CqkOc4q9oUmW1yo/edit?usp=sharing"",""นครสวรรค์!I423"")"),0)</f>
        <v>0</v>
      </c>
      <c r="J528" s="207">
        <f ca="1">IFERROR(__xludf.DUMMYFUNCTION("IMPORTRANGE(""https://docs.google.com/spreadsheets/d/11923uPwbBZFjjGgGUA6NLw09EwE0CqkOc4q9oUmW1yo/edit?usp=sharing"",""นครสวรรค์!J423"")"),0)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IFERROR(__xludf.DUMMYFUNCTION("IMPORTRANGE(""https://docs.google.com/spreadsheets/d/11923uPwbBZFjjGgGUA6NLw09EwE0CqkOc4q9oUmW1yo/edit?usp=sharing"",""นครสวรรค์!I424"")"),0)</f>
        <v>0</v>
      </c>
      <c r="J529" s="207">
        <f ca="1">IFERROR(__xludf.DUMMYFUNCTION("IMPORTRANGE(""https://docs.google.com/spreadsheets/d/11923uPwbBZFjjGgGUA6NLw09EwE0CqkOc4q9oUmW1yo/edit?usp=sharing"",""นครสวรรค์!J424"")"),0)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IFERROR(__xludf.DUMMYFUNCTION("IMPORTRANGE(""https://docs.google.com/spreadsheets/d/11923uPwbBZFjjGgGUA6NLw09EwE0CqkOc4q9oUmW1yo/edit?usp=sharing"",""นครสวรรค์!I425"")"),0)</f>
        <v>0</v>
      </c>
      <c r="J530" s="207">
        <f ca="1">IFERROR(__xludf.DUMMYFUNCTION("IMPORTRANGE(""https://docs.google.com/spreadsheets/d/11923uPwbBZFjjGgGUA6NLw09EwE0CqkOc4q9oUmW1yo/edit?usp=sharing"",""นครสวรรค์!J425"")"),0)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IFERROR(__xludf.DUMMYFUNCTION("IMPORTRANGE(""https://docs.google.com/spreadsheets/d/11923uPwbBZFjjGgGUA6NLw09EwE0CqkOc4q9oUmW1yo/edit?usp=sharing"",""นครสวรรค์!I426"")"),0)</f>
        <v>0</v>
      </c>
      <c r="J531" s="207">
        <f ca="1">IFERROR(__xludf.DUMMYFUNCTION("IMPORTRANGE(""https://docs.google.com/spreadsheets/d/11923uPwbBZFjjGgGUA6NLw09EwE0CqkOc4q9oUmW1yo/edit?usp=sharing"",""นครสวรรค์!J426"")"),0)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IFERROR(__xludf.DUMMYFUNCTION("IMPORTRANGE(""https://docs.google.com/spreadsheets/d/11923uPwbBZFjjGgGUA6NLw09EwE0CqkOc4q9oUmW1yo/edit?usp=sharing"",""นครสวรรค์!I427"")"),0)</f>
        <v>0</v>
      </c>
      <c r="J532" s="474">
        <f ca="1">IFERROR(__xludf.DUMMYFUNCTION("IMPORTRANGE(""https://docs.google.com/spreadsheets/d/11923uPwbBZFjjGgGUA6NLw09EwE0CqkOc4q9oUmW1yo/edit?usp=sharing"",""นครสวรรค์!J427"")"),0)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IFERROR(__xludf.DUMMYFUNCTION("IMPORTRANGE(""https://docs.google.com/spreadsheets/d/11923uPwbBZFjjGgGUA6NLw09EwE0CqkOc4q9oUmW1yo/edit?usp=sharing"",""นครสวรรค์!I428"")"),22)</f>
        <v>22</v>
      </c>
      <c r="J533" s="418">
        <f ca="1">IFERROR(__xludf.DUMMYFUNCTION("IMPORTRANGE(""https://docs.google.com/spreadsheets/d/11923uPwbBZFjjGgGUA6NLw09EwE0CqkOc4q9oUmW1yo/edit?usp=sharing"",""นครสวรรค์!J428"")"),22)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IFERROR(__xludf.DUMMYFUNCTION("IMPORTRANGE(""https://docs.google.com/spreadsheets/d/11923uPwbBZFjjGgGUA6NLw09EwE0CqkOc4q9oUmW1yo/edit?usp=sharing"",""นครสวรรค์!L428"")"),34340)</f>
        <v>34340</v>
      </c>
      <c r="M533" s="420"/>
      <c r="N533" s="420">
        <f ca="1">IFERROR(__xludf.DUMMYFUNCTION("IMPORTRANGE(""https://docs.google.com/spreadsheets/d/11923uPwbBZFjjGgGUA6NLw09EwE0CqkOc4q9oUmW1yo/edit?usp=sharing"",""นครสวรรค์!M428"")"),19715)</f>
        <v>19715</v>
      </c>
      <c r="O533" s="420">
        <f t="shared" ref="O533:O537" ca="1" si="118">+IF(L533&gt;0,N533*100/L533,0)</f>
        <v>57.411182294700055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IFERROR(__xludf.DUMMYFUNCTION("IMPORTRANGE(""https://docs.google.com/spreadsheets/d/11923uPwbBZFjjGgGUA6NLw09EwE0CqkOc4q9oUmW1yo/edit?usp=sharing"",""นครสวรรค์!L429"")"),0)</f>
        <v>0</v>
      </c>
      <c r="M534" s="172"/>
      <c r="N534" s="178">
        <f ca="1">IFERROR(__xludf.DUMMYFUNCTION("IMPORTRANGE(""https://docs.google.com/spreadsheets/d/11923uPwbBZFjjGgGUA6NLw09EwE0CqkOc4q9oUmW1yo/edit?usp=sharing"",""นครสวรรค์!M429"")"),0)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IFERROR(__xludf.DUMMYFUNCTION("IMPORTRANGE(""https://docs.google.com/spreadsheets/d/11923uPwbBZFjjGgGUA6NLw09EwE0CqkOc4q9oUmW1yo/edit?usp=sharing"",""นครสวรรค์!L430"")"),34340)</f>
        <v>34340</v>
      </c>
      <c r="M535" s="173"/>
      <c r="N535" s="178">
        <f ca="1">IFERROR(__xludf.DUMMYFUNCTION("IMPORTRANGE(""https://docs.google.com/spreadsheets/d/11923uPwbBZFjjGgGUA6NLw09EwE0CqkOc4q9oUmW1yo/edit?usp=sharing"",""นครสวรรค์!M430"")"),19715)</f>
        <v>19715</v>
      </c>
      <c r="O535" s="178">
        <f t="shared" ca="1" si="118"/>
        <v>57.411182294700055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IFERROR(__xludf.DUMMYFUNCTION("IMPORTRANGE(""https://docs.google.com/spreadsheets/d/11923uPwbBZFjjGgGUA6NLw09EwE0CqkOc4q9oUmW1yo/edit?usp=sharing"",""นครสวรรค์!L431"")"),0)</f>
        <v>0</v>
      </c>
      <c r="M536" s="178"/>
      <c r="N536" s="178">
        <f ca="1">IFERROR(__xludf.DUMMYFUNCTION("IMPORTRANGE(""https://docs.google.com/spreadsheets/d/11923uPwbBZFjjGgGUA6NLw09EwE0CqkOc4q9oUmW1yo/edit?usp=sharing"",""นครสวรรค์!M431"")"),0)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IFERROR(__xludf.DUMMYFUNCTION("IMPORTRANGE(""https://docs.google.com/spreadsheets/d/11923uPwbBZFjjGgGUA6NLw09EwE0CqkOc4q9oUmW1yo/edit?usp=sharing"",""นครสวรรค์!L432"")"),34340)</f>
        <v>34340</v>
      </c>
      <c r="M537" s="178"/>
      <c r="N537" s="178">
        <f ca="1">IFERROR(__xludf.DUMMYFUNCTION("IMPORTRANGE(""https://docs.google.com/spreadsheets/d/11923uPwbBZFjjGgGUA6NLw09EwE0CqkOc4q9oUmW1yo/edit?usp=sharing"",""นครสวรรค์!M432"")"),19715)</f>
        <v>19715</v>
      </c>
      <c r="O537" s="178">
        <f t="shared" ca="1" si="118"/>
        <v>57.411182294700055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IFERROR(__xludf.DUMMYFUNCTION("IMPORTRANGE(""https://docs.google.com/spreadsheets/d/11923uPwbBZFjjGgGUA6NLw09EwE0CqkOc4q9oUmW1yo/edit?usp=sharing"",""นครสวรรค์!M433"")"),18740)</f>
        <v>18740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IFERROR(__xludf.DUMMYFUNCTION("IMPORTRANGE(""https://docs.google.com/spreadsheets/d/11923uPwbBZFjjGgGUA6NLw09EwE0CqkOc4q9oUmW1yo/edit?usp=sharing"",""นครสวรรค์!M434"")"),0)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IFERROR(__xludf.DUMMYFUNCTION("IMPORTRANGE(""https://docs.google.com/spreadsheets/d/11923uPwbBZFjjGgGUA6NLw09EwE0CqkOc4q9oUmW1yo/edit?usp=sharing"",""นครสวรรค์!M435"")"),0)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IFERROR(__xludf.DUMMYFUNCTION("IMPORTRANGE(""https://docs.google.com/spreadsheets/d/11923uPwbBZFjjGgGUA6NLw09EwE0CqkOc4q9oUmW1yo/edit?usp=sharing"",""นครสวรรค์!M436"")"),975)</f>
        <v>975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IFERROR(__xludf.DUMMYFUNCTION("IMPORTRANGE(""https://docs.google.com/spreadsheets/d/11923uPwbBZFjjGgGUA6NLw09EwE0CqkOc4q9oUmW1yo/edit?usp=sharing"",""นครสวรรค์!J438"")"),0)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IFERROR(__xludf.DUMMYFUNCTION("IMPORTRANGE(""https://docs.google.com/spreadsheets/d/11923uPwbBZFjjGgGUA6NLw09EwE0CqkOc4q9oUmW1yo/edit?usp=sharing"",""นครสวรรค์!J439"")"),1)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IFERROR(__xludf.DUMMYFUNCTION("IMPORTRANGE(""https://docs.google.com/spreadsheets/d/11923uPwbBZFjjGgGUA6NLw09EwE0CqkOc4q9oUmW1yo/edit?usp=sharing"",""นครสวรรค์!J440"")"),1)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IFERROR(__xludf.DUMMYFUNCTION("IMPORTRANGE(""https://docs.google.com/spreadsheets/d/11923uPwbBZFjjGgGUA6NLw09EwE0CqkOc4q9oUmW1yo/edit?usp=sharing"",""นครสวรรค์!J441"")"),1)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IFERROR(__xludf.DUMMYFUNCTION("IMPORTRANGE(""https://docs.google.com/spreadsheets/d/11923uPwbBZFjjGgGUA6NLw09EwE0CqkOc4q9oUmW1yo/edit?usp=sharing"",""นครสวรรค์!I442"")"),22)</f>
        <v>22</v>
      </c>
      <c r="J547" s="198">
        <f ca="1">IFERROR(__xludf.DUMMYFUNCTION("IMPORTRANGE(""https://docs.google.com/spreadsheets/d/11923uPwbBZFjjGgGUA6NLw09EwE0CqkOc4q9oUmW1yo/edit?usp=sharing"",""นครสวรรค์!J442"")"),22)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IFERROR(__xludf.DUMMYFUNCTION("IMPORTRANGE(""https://docs.google.com/spreadsheets/d/11923uPwbBZFjjGgGUA6NLw09EwE0CqkOc4q9oUmW1yo/edit?usp=sharing"",""นครสวรรค์!J166"")"),0)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IFERROR(__xludf.DUMMYFUNCTION("IMPORTRANGE(""https://docs.google.com/spreadsheets/d/11923uPwbBZFjjGgGUA6NLw09EwE0CqkOc4q9oUmW1yo/edit?usp=sharing"",""นครสวรรค์!J444"")"),0)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IFERROR(__xludf.DUMMYFUNCTION("IMPORTRANGE(""https://docs.google.com/spreadsheets/d/11923uPwbBZFjjGgGUA6NLw09EwE0CqkOc4q9oUmW1yo/edit?usp=sharing"",""นครสวรรค์!J445"")"),0)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IFERROR(__xludf.DUMMYFUNCTION("IMPORTRANGE(""https://docs.google.com/spreadsheets/d/11923uPwbBZFjjGgGUA6NLw09EwE0CqkOc4q9oUmW1yo/edit?usp=sharing"",""นครสวรรค์!I446"")"),0)</f>
        <v>0</v>
      </c>
      <c r="J551" s="418">
        <f ca="1">IFERROR(__xludf.DUMMYFUNCTION("IMPORTRANGE(""https://docs.google.com/spreadsheets/d/11923uPwbBZFjjGgGUA6NLw09EwE0CqkOc4q9oUmW1yo/edit?usp=sharing"",""นครสวรรค์!J446"")"),0)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IFERROR(__xludf.DUMMYFUNCTION("IMPORTRANGE(""https://docs.google.com/spreadsheets/d/11923uPwbBZFjjGgGUA6NLw09EwE0CqkOc4q9oUmW1yo/edit?usp=sharing"",""นครสวรรค์!L446"")"),0)</f>
        <v>0</v>
      </c>
      <c r="M551" s="420"/>
      <c r="N551" s="420">
        <f ca="1">IFERROR(__xludf.DUMMYFUNCTION("IMPORTRANGE(""https://docs.google.com/spreadsheets/d/11923uPwbBZFjjGgGUA6NLw09EwE0CqkOc4q9oUmW1yo/edit?usp=sharing"",""นครสวรรค์!M446"")"),0)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IFERROR(__xludf.DUMMYFUNCTION("IMPORTRANGE(""https://docs.google.com/spreadsheets/d/11923uPwbBZFjjGgGUA6NLw09EwE0CqkOc4q9oUmW1yo/edit?usp=sharing"",""นครสวรรค์!L447"")"),0)</f>
        <v>0</v>
      </c>
      <c r="M552" s="172"/>
      <c r="N552" s="178">
        <f ca="1">IFERROR(__xludf.DUMMYFUNCTION("IMPORTRANGE(""https://docs.google.com/spreadsheets/d/11923uPwbBZFjjGgGUA6NLw09EwE0CqkOc4q9oUmW1yo/edit?usp=sharing"",""นครสวรรค์!M447"")"),0)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IFERROR(__xludf.DUMMYFUNCTION("IMPORTRANGE(""https://docs.google.com/spreadsheets/d/11923uPwbBZFjjGgGUA6NLw09EwE0CqkOc4q9oUmW1yo/edit?usp=sharing"",""นครสวรรค์!L448"")"),0)</f>
        <v>0</v>
      </c>
      <c r="M553" s="173"/>
      <c r="N553" s="178">
        <f ca="1">IFERROR(__xludf.DUMMYFUNCTION("IMPORTRANGE(""https://docs.google.com/spreadsheets/d/11923uPwbBZFjjGgGUA6NLw09EwE0CqkOc4q9oUmW1yo/edit?usp=sharing"",""นครสวรรค์!M448"")"),0)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IFERROR(__xludf.DUMMYFUNCTION("IMPORTRANGE(""https://docs.google.com/spreadsheets/d/11923uPwbBZFjjGgGUA6NLw09EwE0CqkOc4q9oUmW1yo/edit?usp=sharing"",""นครสวรรค์!L449"")"),0)</f>
        <v>0</v>
      </c>
      <c r="M554" s="178"/>
      <c r="N554" s="178">
        <f ca="1">IFERROR(__xludf.DUMMYFUNCTION("IMPORTRANGE(""https://docs.google.com/spreadsheets/d/11923uPwbBZFjjGgGUA6NLw09EwE0CqkOc4q9oUmW1yo/edit?usp=sharing"",""นครสวรรค์!M449"")"),0)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IFERROR(__xludf.DUMMYFUNCTION("IMPORTRANGE(""https://docs.google.com/spreadsheets/d/11923uPwbBZFjjGgGUA6NLw09EwE0CqkOc4q9oUmW1yo/edit?usp=sharing"",""นครสวรรค์!L450"")"),0)</f>
        <v>0</v>
      </c>
      <c r="M555" s="178"/>
      <c r="N555" s="178">
        <f ca="1">IFERROR(__xludf.DUMMYFUNCTION("IMPORTRANGE(""https://docs.google.com/spreadsheets/d/11923uPwbBZFjjGgGUA6NLw09EwE0CqkOc4q9oUmW1yo/edit?usp=sharing"",""นครสวรรค์!M450"")"),0)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IFERROR(__xludf.DUMMYFUNCTION("IMPORTRANGE(""https://docs.google.com/spreadsheets/d/11923uPwbBZFjjGgGUA6NLw09EwE0CqkOc4q9oUmW1yo/edit?usp=sharing"",""นครสวรรค์!M451"")"),0)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IFERROR(__xludf.DUMMYFUNCTION("IMPORTRANGE(""https://docs.google.com/spreadsheets/d/11923uPwbBZFjjGgGUA6NLw09EwE0CqkOc4q9oUmW1yo/edit?usp=sharing"",""นครสวรรค์!M452"")"),0)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IFERROR(__xludf.DUMMYFUNCTION("IMPORTRANGE(""https://docs.google.com/spreadsheets/d/11923uPwbBZFjjGgGUA6NLw09EwE0CqkOc4q9oUmW1yo/edit?usp=sharing"",""นครสวรรค์!M453"")"),0)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IFERROR(__xludf.DUMMYFUNCTION("IMPORTRANGE(""https://docs.google.com/spreadsheets/d/11923uPwbBZFjjGgGUA6NLw09EwE0CqkOc4q9oUmW1yo/edit?usp=sharing"",""นครสวรรค์!M454"")"),0)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IFERROR(__xludf.DUMMYFUNCTION("IMPORTRANGE(""https://docs.google.com/spreadsheets/d/11923uPwbBZFjjGgGUA6NLw09EwE0CqkOc4q9oUmW1yo/edit?usp=sharing"",""นครสวรรค์!I455"")"),0)</f>
        <v>0</v>
      </c>
      <c r="J560" s="170">
        <f ca="1">IFERROR(__xludf.DUMMYFUNCTION("IMPORTRANGE(""https://docs.google.com/spreadsheets/d/11923uPwbBZFjjGgGUA6NLw09EwE0CqkOc4q9oUmW1yo/edit?usp=sharing"",""นครสวรรค์!J455"")"),0)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IFERROR(__xludf.DUMMYFUNCTION("IMPORTRANGE(""https://docs.google.com/spreadsheets/d/11923uPwbBZFjjGgGUA6NLw09EwE0CqkOc4q9oUmW1yo/edit?usp=sharing"",""นครสวรรค์!I456"")"),0)</f>
        <v>0</v>
      </c>
      <c r="J561" s="213">
        <f ca="1">IFERROR(__xludf.DUMMYFUNCTION("IMPORTRANGE(""https://docs.google.com/spreadsheets/d/11923uPwbBZFjjGgGUA6NLw09EwE0CqkOc4q9oUmW1yo/edit?usp=sharing"",""นครสวรรค์!J456"")"),0)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>
        <v>0</v>
      </c>
      <c r="J562" s="213" t="str">
        <f ca="1">IFERROR(__xludf.DUMMYFUNCTION("IMPORTRANGE(""https://docs.google.com/spreadsheets/d/11923uPwbBZFjjGgGUA6NLw09EwE0CqkOc4q9oUmW1yo/edit?usp=sharing"",""นครสวรรค์!J457"")"),"")</f>
        <v/>
      </c>
      <c r="K562" s="171">
        <f t="shared" si="121"/>
        <v>0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>
        <v>0</v>
      </c>
      <c r="J563" s="197" t="str">
        <f ca="1">IFERROR(__xludf.DUMMYFUNCTION("IMPORTRANGE(""https://docs.google.com/spreadsheets/d/11923uPwbBZFjjGgGUA6NLw09EwE0CqkOc4q9oUmW1yo/edit?usp=sharing"",""นครสวรรค์!J458"")"),"")</f>
        <v/>
      </c>
      <c r="K563" s="171">
        <f t="shared" si="121"/>
        <v>0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IFERROR(__xludf.DUMMYFUNCTION("IMPORTRANGE(""https://docs.google.com/spreadsheets/d/11923uPwbBZFjjGgGUA6NLw09EwE0CqkOc4q9oUmW1yo/edit?usp=sharing"",""นครสวรรค์!I459"")"),2750)</f>
        <v>2750</v>
      </c>
      <c r="J564" s="379">
        <f ca="1">IFERROR(__xludf.DUMMYFUNCTION("IMPORTRANGE(""https://docs.google.com/spreadsheets/d/11923uPwbBZFjjGgGUA6NLw09EwE0CqkOc4q9oUmW1yo/edit?usp=sharing"",""นครสวรรค์!J459"")"),1111)</f>
        <v>1111</v>
      </c>
      <c r="K564" s="380">
        <f t="shared" ca="1" si="121"/>
        <v>40.4</v>
      </c>
      <c r="L564" s="381">
        <f ca="1">IFERROR(__xludf.DUMMYFUNCTION("IMPORTRANGE(""https://docs.google.com/spreadsheets/d/11923uPwbBZFjjGgGUA6NLw09EwE0CqkOc4q9oUmW1yo/edit?usp=sharing"",""นครสวรรค์!L459"")"),140160)</f>
        <v>140160</v>
      </c>
      <c r="M564" s="381"/>
      <c r="N564" s="381">
        <f ca="1">IFERROR(__xludf.DUMMYFUNCTION("IMPORTRANGE(""https://docs.google.com/spreadsheets/d/11923uPwbBZFjjGgGUA6NLw09EwE0CqkOc4q9oUmW1yo/edit?usp=sharing"",""นครสวรรค์!M459"")"),33746)</f>
        <v>33746</v>
      </c>
      <c r="O564" s="381">
        <f t="shared" ref="O564:O568" ca="1" si="122">+IF(L564&gt;0,N564*100/L564,0)</f>
        <v>24.076769406392692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IFERROR(__xludf.DUMMYFUNCTION("IMPORTRANGE(""https://docs.google.com/spreadsheets/d/11923uPwbBZFjjGgGUA6NLw09EwE0CqkOc4q9oUmW1yo/edit?usp=sharing"",""นครสวรรค์!L460"")"),0)</f>
        <v>0</v>
      </c>
      <c r="M565" s="172"/>
      <c r="N565" s="178">
        <f ca="1">IFERROR(__xludf.DUMMYFUNCTION("IMPORTRANGE(""https://docs.google.com/spreadsheets/d/11923uPwbBZFjjGgGUA6NLw09EwE0CqkOc4q9oUmW1yo/edit?usp=sharing"",""นครสวรรค์!M460"")"),0)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IFERROR(__xludf.DUMMYFUNCTION("IMPORTRANGE(""https://docs.google.com/spreadsheets/d/11923uPwbBZFjjGgGUA6NLw09EwE0CqkOc4q9oUmW1yo/edit?usp=sharing"",""นครสวรรค์!L461"")"),140160)</f>
        <v>140160</v>
      </c>
      <c r="M566" s="173"/>
      <c r="N566" s="178">
        <f ca="1">IFERROR(__xludf.DUMMYFUNCTION("IMPORTRANGE(""https://docs.google.com/spreadsheets/d/11923uPwbBZFjjGgGUA6NLw09EwE0CqkOc4q9oUmW1yo/edit?usp=sharing"",""นครสวรรค์!M461"")"),33746)</f>
        <v>33746</v>
      </c>
      <c r="O566" s="178">
        <f t="shared" ca="1" si="122"/>
        <v>24.076769406392692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IFERROR(__xludf.DUMMYFUNCTION("IMPORTRANGE(""https://docs.google.com/spreadsheets/d/11923uPwbBZFjjGgGUA6NLw09EwE0CqkOc4q9oUmW1yo/edit?usp=sharing"",""นครสวรรค์!L462"")"),0)</f>
        <v>0</v>
      </c>
      <c r="M567" s="178"/>
      <c r="N567" s="178">
        <f ca="1">IFERROR(__xludf.DUMMYFUNCTION("IMPORTRANGE(""https://docs.google.com/spreadsheets/d/11923uPwbBZFjjGgGUA6NLw09EwE0CqkOc4q9oUmW1yo/edit?usp=sharing"",""นครสวรรค์!M462"")"),0)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IFERROR(__xludf.DUMMYFUNCTION("IMPORTRANGE(""https://docs.google.com/spreadsheets/d/11923uPwbBZFjjGgGUA6NLw09EwE0CqkOc4q9oUmW1yo/edit?usp=sharing"",""นครสวรรค์!L463"")"),140160)</f>
        <v>140160</v>
      </c>
      <c r="M568" s="178"/>
      <c r="N568" s="178">
        <f ca="1">IFERROR(__xludf.DUMMYFUNCTION("IMPORTRANGE(""https://docs.google.com/spreadsheets/d/11923uPwbBZFjjGgGUA6NLw09EwE0CqkOc4q9oUmW1yo/edit?usp=sharing"",""นครสวรรค์!M463"")"),33746)</f>
        <v>33746</v>
      </c>
      <c r="O568" s="178">
        <f t="shared" ca="1" si="122"/>
        <v>24.076769406392692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IFERROR(__xludf.DUMMYFUNCTION("IMPORTRANGE(""https://docs.google.com/spreadsheets/d/11923uPwbBZFjjGgGUA6NLw09EwE0CqkOc4q9oUmW1yo/edit?usp=sharing"",""นครสวรรค์!M464"")"),0)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IFERROR(__xludf.DUMMYFUNCTION("IMPORTRANGE(""https://docs.google.com/spreadsheets/d/11923uPwbBZFjjGgGUA6NLw09EwE0CqkOc4q9oUmW1yo/edit?usp=sharing"",""นครสวรรค์!M465"")"),0)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IFERROR(__xludf.DUMMYFUNCTION("IMPORTRANGE(""https://docs.google.com/spreadsheets/d/11923uPwbBZFjjGgGUA6NLw09EwE0CqkOc4q9oUmW1yo/edit?usp=sharing"",""นครสวรรค์!M466"")"),33746)</f>
        <v>33746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IFERROR(__xludf.DUMMYFUNCTION("IMPORTRANGE(""https://docs.google.com/spreadsheets/d/11923uPwbBZFjjGgGUA6NLw09EwE0CqkOc4q9oUmW1yo/edit?usp=sharing"",""นครสวรรค์!M467"")"),0)</f>
        <v>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IFERROR(__xludf.DUMMYFUNCTION("IMPORTRANGE(""https://docs.google.com/spreadsheets/d/11923uPwbBZFjjGgGUA6NLw09EwE0CqkOc4q9oUmW1yo/edit?usp=sharing"",""นครสวรรค์!I468"")"),2750)</f>
        <v>2750</v>
      </c>
      <c r="J573" s="428">
        <f ca="1">IFERROR(__xludf.DUMMYFUNCTION("IMPORTRANGE(""https://docs.google.com/spreadsheets/d/11923uPwbBZFjjGgGUA6NLw09EwE0CqkOc4q9oUmW1yo/edit?usp=sharing"",""นครสวรรค์!J468"")"),1111)</f>
        <v>1111</v>
      </c>
      <c r="K573" s="211">
        <f ca="1">IF(I573&gt;0,J573*100/I573,0)</f>
        <v>40.4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IFERROR(__xludf.DUMMYFUNCTION("IMPORTRANGE(""https://docs.google.com/spreadsheets/d/11923uPwbBZFjjGgGUA6NLw09EwE0CqkOc4q9oUmW1yo/edit?usp=sharing"",""นครสวรรค์!I470"")"),7)</f>
        <v>7</v>
      </c>
      <c r="J575" s="207">
        <f ca="1">IFERROR(__xludf.DUMMYFUNCTION("IMPORTRANGE(""https://docs.google.com/spreadsheets/d/11923uPwbBZFjjGgGUA6NLw09EwE0CqkOc4q9oUmW1yo/edit?usp=sharing"",""นครสวรรค์!J470"")"),4)</f>
        <v>4</v>
      </c>
      <c r="K575" s="171">
        <f t="shared" ref="K575:K579" ca="1" si="123">IF(I575&gt;0,J575*100/I575,0)</f>
        <v>57.142857142857146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IFERROR(__xludf.DUMMYFUNCTION("IMPORTRANGE(""https://docs.google.com/spreadsheets/d/11923uPwbBZFjjGgGUA6NLw09EwE0CqkOc4q9oUmW1yo/edit?usp=sharing"",""นครสวรรค์!I471"")"),0)</f>
        <v>0</v>
      </c>
      <c r="J576" s="207">
        <f ca="1">IFERROR(__xludf.DUMMYFUNCTION("IMPORTRANGE(""https://docs.google.com/spreadsheets/d/11923uPwbBZFjjGgGUA6NLw09EwE0CqkOc4q9oUmW1yo/edit?usp=sharing"",""นครสวรรค์!J471"")"),190)</f>
        <v>190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IFERROR(__xludf.DUMMYFUNCTION("IMPORTRANGE(""https://docs.google.com/spreadsheets/d/11923uPwbBZFjjGgGUA6NLw09EwE0CqkOc4q9oUmW1yo/edit?usp=sharing"",""นครสวรรค์!I472"")"),0)</f>
        <v>0</v>
      </c>
      <c r="J577" s="198">
        <f ca="1">IFERROR(__xludf.DUMMYFUNCTION("IMPORTRANGE(""https://docs.google.com/spreadsheets/d/11923uPwbBZFjjGgGUA6NLw09EwE0CqkOc4q9oUmW1yo/edit?usp=sharing"",""นครสวรรค์!J472"")"),913)</f>
        <v>913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IFERROR(__xludf.DUMMYFUNCTION("IMPORTRANGE(""https://docs.google.com/spreadsheets/d/11923uPwbBZFjjGgGUA6NLw09EwE0CqkOc4q9oUmW1yo/edit?usp=sharing"",""นครสวรรค์!I473"")"),0)</f>
        <v>0</v>
      </c>
      <c r="J578" s="207">
        <f ca="1">IFERROR(__xludf.DUMMYFUNCTION("IMPORTRANGE(""https://docs.google.com/spreadsheets/d/11923uPwbBZFjjGgGUA6NLw09EwE0CqkOc4q9oUmW1yo/edit?usp=sharing"",""นครสวรรค์!J473"")"),8)</f>
        <v>8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IFERROR(__xludf.DUMMYFUNCTION("IMPORTRANGE(""https://docs.google.com/spreadsheets/d/11923uPwbBZFjjGgGUA6NLw09EwE0CqkOc4q9oUmW1yo/edit?usp=sharing"",""นครสวรรค์!I474"")"),0)</f>
        <v>0</v>
      </c>
      <c r="J579" s="207">
        <f ca="1">IFERROR(__xludf.DUMMYFUNCTION("IMPORTRANGE(""https://docs.google.com/spreadsheets/d/11923uPwbBZFjjGgGUA6NLw09EwE0CqkOc4q9oUmW1yo/edit?usp=sharing"",""นครสวรรค์!J474"")"),0)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IFERROR(__xludf.DUMMYFUNCTION("IMPORTRANGE(""https://docs.google.com/spreadsheets/d/11923uPwbBZFjjGgGUA6NLw09EwE0CqkOc4q9oUmW1yo/edit?usp=sharing"",""นครสวรรค์!I475"")"),0)</f>
        <v>0</v>
      </c>
      <c r="J580" s="379">
        <f ca="1">IFERROR(__xludf.DUMMYFUNCTION("IMPORTRANGE(""https://docs.google.com/spreadsheets/d/11923uPwbBZFjjGgGUA6NLw09EwE0CqkOc4q9oUmW1yo/edit?usp=sharing"",""นครสวรรค์!J475"")"),0)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IFERROR(__xludf.DUMMYFUNCTION("IMPORTRANGE(""https://docs.google.com/spreadsheets/d/11923uPwbBZFjjGgGUA6NLw09EwE0CqkOc4q9oUmW1yo/edit?usp=sharing"",""นครสวรรค์!L475"")"),0)</f>
        <v>0</v>
      </c>
      <c r="M580" s="381"/>
      <c r="N580" s="381">
        <f ca="1">IFERROR(__xludf.DUMMYFUNCTION("IMPORTRANGE(""https://docs.google.com/spreadsheets/d/11923uPwbBZFjjGgGUA6NLw09EwE0CqkOc4q9oUmW1yo/edit?usp=sharing"",""นครสวรรค์!M475"")"),0)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IFERROR(__xludf.DUMMYFUNCTION("IMPORTRANGE(""https://docs.google.com/spreadsheets/d/11923uPwbBZFjjGgGUA6NLw09EwE0CqkOc4q9oUmW1yo/edit?usp=sharing"",""นครสวรรค์!L476"")"),0)</f>
        <v>0</v>
      </c>
      <c r="M581" s="172"/>
      <c r="N581" s="178">
        <f ca="1">IFERROR(__xludf.DUMMYFUNCTION("IMPORTRANGE(""https://docs.google.com/spreadsheets/d/11923uPwbBZFjjGgGUA6NLw09EwE0CqkOc4q9oUmW1yo/edit?usp=sharing"",""นครสวรรค์!M476"")"),0)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IFERROR(__xludf.DUMMYFUNCTION("IMPORTRANGE(""https://docs.google.com/spreadsheets/d/11923uPwbBZFjjGgGUA6NLw09EwE0CqkOc4q9oUmW1yo/edit?usp=sharing"",""นครสวรรค์!L477"")"),0)</f>
        <v>0</v>
      </c>
      <c r="M582" s="173"/>
      <c r="N582" s="178">
        <f ca="1">IFERROR(__xludf.DUMMYFUNCTION("IMPORTRANGE(""https://docs.google.com/spreadsheets/d/11923uPwbBZFjjGgGUA6NLw09EwE0CqkOc4q9oUmW1yo/edit?usp=sharing"",""นครสวรรค์!M477"")"),0)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IFERROR(__xludf.DUMMYFUNCTION("IMPORTRANGE(""https://docs.google.com/spreadsheets/d/11923uPwbBZFjjGgGUA6NLw09EwE0CqkOc4q9oUmW1yo/edit?usp=sharing"",""นครสวรรค์!L478"")"),0)</f>
        <v>0</v>
      </c>
      <c r="M583" s="178"/>
      <c r="N583" s="178">
        <f ca="1">IFERROR(__xludf.DUMMYFUNCTION("IMPORTRANGE(""https://docs.google.com/spreadsheets/d/11923uPwbBZFjjGgGUA6NLw09EwE0CqkOc4q9oUmW1yo/edit?usp=sharing"",""นครสวรรค์!M478"")"),0)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IFERROR(__xludf.DUMMYFUNCTION("IMPORTRANGE(""https://docs.google.com/spreadsheets/d/11923uPwbBZFjjGgGUA6NLw09EwE0CqkOc4q9oUmW1yo/edit?usp=sharing"",""นครสวรรค์!L479"")"),0)</f>
        <v>0</v>
      </c>
      <c r="M584" s="178"/>
      <c r="N584" s="178">
        <f ca="1">IFERROR(__xludf.DUMMYFUNCTION("IMPORTRANGE(""https://docs.google.com/spreadsheets/d/11923uPwbBZFjjGgGUA6NLw09EwE0CqkOc4q9oUmW1yo/edit?usp=sharing"",""นครสวรรค์!M479"")"),0)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IFERROR(__xludf.DUMMYFUNCTION("IMPORTRANGE(""https://docs.google.com/spreadsheets/d/11923uPwbBZFjjGgGUA6NLw09EwE0CqkOc4q9oUmW1yo/edit?usp=sharing"",""นครสวรรค์!M480"")"),0)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IFERROR(__xludf.DUMMYFUNCTION("IMPORTRANGE(""https://docs.google.com/spreadsheets/d/11923uPwbBZFjjGgGUA6NLw09EwE0CqkOc4q9oUmW1yo/edit?usp=sharing"",""นครสวรรค์!M481"")"),0)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IFERROR(__xludf.DUMMYFUNCTION("IMPORTRANGE(""https://docs.google.com/spreadsheets/d/11923uPwbBZFjjGgGUA6NLw09EwE0CqkOc4q9oUmW1yo/edit?usp=sharing"",""นครสวรรค์!M482"")"),0)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IFERROR(__xludf.DUMMYFUNCTION("IMPORTRANGE(""https://docs.google.com/spreadsheets/d/11923uPwbBZFjjGgGUA6NLw09EwE0CqkOc4q9oUmW1yo/edit?usp=sharing"",""นครสวรรค์!M483"")"),0)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IFERROR(__xludf.DUMMYFUNCTION("IMPORTRANGE(""https://docs.google.com/spreadsheets/d/11923uPwbBZFjjGgGUA6NLw09EwE0CqkOc4q9oUmW1yo/edit?usp=sharing"",""นครสวรรค์!I484"")"),0)</f>
        <v>0</v>
      </c>
      <c r="J589" s="197">
        <f ca="1">IFERROR(__xludf.DUMMYFUNCTION("IMPORTRANGE(""https://docs.google.com/spreadsheets/d/11923uPwbBZFjjGgGUA6NLw09EwE0CqkOc4q9oUmW1yo/edit?usp=sharing"",""นครสวรรค์!J484"")"),0)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IFERROR(__xludf.DUMMYFUNCTION("IMPORTRANGE(""https://docs.google.com/spreadsheets/d/11923uPwbBZFjjGgGUA6NLw09EwE0CqkOc4q9oUmW1yo/edit?usp=sharing"",""นครสวรรค์!I485"")"),0)</f>
        <v>0</v>
      </c>
      <c r="J590" s="197">
        <f ca="1">IFERROR(__xludf.DUMMYFUNCTION("IMPORTRANGE(""https://docs.google.com/spreadsheets/d/11923uPwbBZFjjGgGUA6NLw09EwE0CqkOc4q9oUmW1yo/edit?usp=sharing"",""นครสวรรค์!J485"")"),0)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IFERROR(__xludf.DUMMYFUNCTION("IMPORTRANGE(""https://docs.google.com/spreadsheets/d/11923uPwbBZFjjGgGUA6NLw09EwE0CqkOc4q9oUmW1yo/edit?usp=sharing"",""นครสวรรค์!I486"")"),0)</f>
        <v>0</v>
      </c>
      <c r="J591" s="197">
        <f ca="1">IFERROR(__xludf.DUMMYFUNCTION("IMPORTRANGE(""https://docs.google.com/spreadsheets/d/11923uPwbBZFjjGgGUA6NLw09EwE0CqkOc4q9oUmW1yo/edit?usp=sharing"",""นครสวรรค์!J486"")"),0)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IFERROR(__xludf.DUMMYFUNCTION("IMPORTRANGE(""https://docs.google.com/spreadsheets/d/11923uPwbBZFjjGgGUA6NLw09EwE0CqkOc4q9oUmW1yo/edit?usp=sharing"",""นครสวรรค์!I487"")"),0)</f>
        <v>0</v>
      </c>
      <c r="J592" s="197">
        <f ca="1">IFERROR(__xludf.DUMMYFUNCTION("IMPORTRANGE(""https://docs.google.com/spreadsheets/d/11923uPwbBZFjjGgGUA6NLw09EwE0CqkOc4q9oUmW1yo/edit?usp=sharing"",""นครสวรรค์!J487"")"),0)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IFERROR(__xludf.DUMMYFUNCTION("IMPORTRANGE(""https://docs.google.com/spreadsheets/d/11923uPwbBZFjjGgGUA6NLw09EwE0CqkOc4q9oUmW1yo/edit?usp=sharing"",""นครสวรรค์!I488"")"),0)</f>
        <v>0</v>
      </c>
      <c r="J593" s="197">
        <f ca="1">IFERROR(__xludf.DUMMYFUNCTION("IMPORTRANGE(""https://docs.google.com/spreadsheets/d/11923uPwbBZFjjGgGUA6NLw09EwE0CqkOc4q9oUmW1yo/edit?usp=sharing"",""นครสวรรค์!J488"")"),0)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IFERROR(__xludf.DUMMYFUNCTION("IMPORTRANGE(""https://docs.google.com/spreadsheets/d/11923uPwbBZFjjGgGUA6NLw09EwE0CqkOc4q9oUmW1yo/edit?usp=sharing"",""นครสวรรค์!I489"")"),0)</f>
        <v>0</v>
      </c>
      <c r="J594" s="197">
        <f ca="1">IFERROR(__xludf.DUMMYFUNCTION("IMPORTRANGE(""https://docs.google.com/spreadsheets/d/11923uPwbBZFjjGgGUA6NLw09EwE0CqkOc4q9oUmW1yo/edit?usp=sharing"",""นครสวรรค์!J489"")"),0)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IFERROR(__xludf.DUMMYFUNCTION("IMPORTRANGE(""https://docs.google.com/spreadsheets/d/11923uPwbBZFjjGgGUA6NLw09EwE0CqkOc4q9oUmW1yo/edit?usp=sharing"",""นครสวรรค์!I490"")"),0)</f>
        <v>0</v>
      </c>
      <c r="J595" s="197">
        <f ca="1">IFERROR(__xludf.DUMMYFUNCTION("IMPORTRANGE(""https://docs.google.com/spreadsheets/d/11923uPwbBZFjjGgGUA6NLw09EwE0CqkOc4q9oUmW1yo/edit?usp=sharing"",""นครสวรรค์!J490"")"),0)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IFERROR(__xludf.DUMMYFUNCTION("IMPORTRANGE(""https://docs.google.com/spreadsheets/d/11923uPwbBZFjjGgGUA6NLw09EwE0CqkOc4q9oUmW1yo/edit?usp=sharing"",""นครสวรรค์!I491"")"),0)</f>
        <v>0</v>
      </c>
      <c r="J596" s="250">
        <f ca="1">IFERROR(__xludf.DUMMYFUNCTION("IMPORTRANGE(""https://docs.google.com/spreadsheets/d/11923uPwbBZFjjGgGUA6NLw09EwE0CqkOc4q9oUmW1yo/edit?usp=sharing"",""นครสวรรค์!J491"")"),0)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IFERROR(__xludf.DUMMYFUNCTION("IMPORTRANGE(""https://docs.google.com/spreadsheets/d/11923uPwbBZFjjGgGUA6NLw09EwE0CqkOc4q9oUmW1yo/edit?usp=sharing"",""นครสวรรค์!I492"")"),50)</f>
        <v>50</v>
      </c>
      <c r="J597" s="495">
        <f ca="1">IFERROR(__xludf.DUMMYFUNCTION("IMPORTRANGE(""https://docs.google.com/spreadsheets/d/11923uPwbBZFjjGgGUA6NLw09EwE0CqkOc4q9oUmW1yo/edit?usp=sharing"",""นครสวรรค์!J492"")"),0)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IFERROR(__xludf.DUMMYFUNCTION("IMPORTRANGE(""https://docs.google.com/spreadsheets/d/11923uPwbBZFjjGgGUA6NLw09EwE0CqkOc4q9oUmW1yo/edit?usp=sharing"",""นครสวรรค์!L492"")"),5350)</f>
        <v>5350</v>
      </c>
      <c r="M597" s="420"/>
      <c r="N597" s="420">
        <f ca="1">IFERROR(__xludf.DUMMYFUNCTION("IMPORTRANGE(""https://docs.google.com/spreadsheets/d/11923uPwbBZFjjGgGUA6NLw09EwE0CqkOc4q9oUmW1yo/edit?usp=sharing"",""นครสวรรค์!M492"")"),800)</f>
        <v>800</v>
      </c>
      <c r="O597" s="420">
        <f t="shared" ref="O597:O601" ca="1" si="126">+IF(L597&gt;0,N597*100/L597,0)</f>
        <v>14.953271028037383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IFERROR(__xludf.DUMMYFUNCTION("IMPORTRANGE(""https://docs.google.com/spreadsheets/d/11923uPwbBZFjjGgGUA6NLw09EwE0CqkOc4q9oUmW1yo/edit?usp=sharing"",""นครสวรรค์!L493"")"),0)</f>
        <v>0</v>
      </c>
      <c r="M598" s="172"/>
      <c r="N598" s="178">
        <f ca="1">IFERROR(__xludf.DUMMYFUNCTION("IMPORTRANGE(""https://docs.google.com/spreadsheets/d/11923uPwbBZFjjGgGUA6NLw09EwE0CqkOc4q9oUmW1yo/edit?usp=sharing"",""นครสวรรค์!M493"")"),0)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IFERROR(__xludf.DUMMYFUNCTION("IMPORTRANGE(""https://docs.google.com/spreadsheets/d/11923uPwbBZFjjGgGUA6NLw09EwE0CqkOc4q9oUmW1yo/edit?usp=sharing"",""นครสวรรค์!L494"")"),5350)</f>
        <v>5350</v>
      </c>
      <c r="M599" s="173"/>
      <c r="N599" s="178">
        <f ca="1">IFERROR(__xludf.DUMMYFUNCTION("IMPORTRANGE(""https://docs.google.com/spreadsheets/d/11923uPwbBZFjjGgGUA6NLw09EwE0CqkOc4q9oUmW1yo/edit?usp=sharing"",""นครสวรรค์!M494"")"),800)</f>
        <v>800</v>
      </c>
      <c r="O599" s="178">
        <f t="shared" ca="1" si="126"/>
        <v>14.953271028037383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IFERROR(__xludf.DUMMYFUNCTION("IMPORTRANGE(""https://docs.google.com/spreadsheets/d/11923uPwbBZFjjGgGUA6NLw09EwE0CqkOc4q9oUmW1yo/edit?usp=sharing"",""นครสวรรค์!L495"")"),0)</f>
        <v>0</v>
      </c>
      <c r="M600" s="178"/>
      <c r="N600" s="178">
        <f ca="1">IFERROR(__xludf.DUMMYFUNCTION("IMPORTRANGE(""https://docs.google.com/spreadsheets/d/11923uPwbBZFjjGgGUA6NLw09EwE0CqkOc4q9oUmW1yo/edit?usp=sharing"",""นครสวรรค์!M495"")"),0)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IFERROR(__xludf.DUMMYFUNCTION("IMPORTRANGE(""https://docs.google.com/spreadsheets/d/11923uPwbBZFjjGgGUA6NLw09EwE0CqkOc4q9oUmW1yo/edit?usp=sharing"",""นครสวรรค์!L496"")"),5350)</f>
        <v>5350</v>
      </c>
      <c r="M601" s="178"/>
      <c r="N601" s="178">
        <f ca="1">IFERROR(__xludf.DUMMYFUNCTION("IMPORTRANGE(""https://docs.google.com/spreadsheets/d/11923uPwbBZFjjGgGUA6NLw09EwE0CqkOc4q9oUmW1yo/edit?usp=sharing"",""นครสวรรค์!M496"")"),800)</f>
        <v>800</v>
      </c>
      <c r="O601" s="178">
        <f t="shared" ca="1" si="126"/>
        <v>14.953271028037383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IFERROR(__xludf.DUMMYFUNCTION("IMPORTRANGE(""https://docs.google.com/spreadsheets/d/11923uPwbBZFjjGgGUA6NLw09EwE0CqkOc4q9oUmW1yo/edit?usp=sharing"",""นครสวรรค์!M497"")"),0)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IFERROR(__xludf.DUMMYFUNCTION("IMPORTRANGE(""https://docs.google.com/spreadsheets/d/11923uPwbBZFjjGgGUA6NLw09EwE0CqkOc4q9oUmW1yo/edit?usp=sharing"",""นครสวรรค์!M498"")"),0)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IFERROR(__xludf.DUMMYFUNCTION("IMPORTRANGE(""https://docs.google.com/spreadsheets/d/11923uPwbBZFjjGgGUA6NLw09EwE0CqkOc4q9oUmW1yo/edit?usp=sharing"",""นครสวรรค์!M499"")"),0)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IFERROR(__xludf.DUMMYFUNCTION("IMPORTRANGE(""https://docs.google.com/spreadsheets/d/11923uPwbBZFjjGgGUA6NLw09EwE0CqkOc4q9oUmW1yo/edit?usp=sharing"",""นครสวรรค์!M500"")"),800)</f>
        <v>800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IFERROR(__xludf.DUMMYFUNCTION("IMPORTRANGE(""https://docs.google.com/spreadsheets/d/11923uPwbBZFjjGgGUA6NLw09EwE0CqkOc4q9oUmW1yo/edit?usp=sharing"",""นครสวรรค์!J502"")"),0)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IFERROR(__xludf.DUMMYFUNCTION("IMPORTRANGE(""https://docs.google.com/spreadsheets/d/11923uPwbBZFjjGgGUA6NLw09EwE0CqkOc4q9oUmW1yo/edit?usp=sharing"",""นครสวรรค์!J503"")"),1)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IFERROR(__xludf.DUMMYFUNCTION("IMPORTRANGE(""https://docs.google.com/spreadsheets/d/11923uPwbBZFjjGgGUA6NLw09EwE0CqkOc4q9oUmW1yo/edit?usp=sharing"",""นครสวรรค์!J166"")"),0)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IFERROR(__xludf.DUMMYFUNCTION("IMPORTRANGE(""https://docs.google.com/spreadsheets/d/11923uPwbBZFjjGgGUA6NLw09EwE0CqkOc4q9oUmW1yo/edit?usp=sharing"",""นครสวรรค์!J166"")"),0)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IFERROR(__xludf.DUMMYFUNCTION("IMPORTRANGE(""https://docs.google.com/spreadsheets/d/11923uPwbBZFjjGgGUA6NLw09EwE0CqkOc4q9oUmW1yo/edit?usp=sharing"",""นครสวรรค์!I506"")"),50)</f>
        <v>50</v>
      </c>
      <c r="J611" s="170">
        <f ca="1">IFERROR(__xludf.DUMMYFUNCTION("IMPORTRANGE(""https://docs.google.com/spreadsheets/d/11923uPwbBZFjjGgGUA6NLw09EwE0CqkOc4q9oUmW1yo/edit?usp=sharing"",""นครสวรรค์!J506"")"),0)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IFERROR(__xludf.DUMMYFUNCTION("IMPORTRANGE(""https://docs.google.com/spreadsheets/d/11923uPwbBZFjjGgGUA6NLw09EwE0CqkOc4q9oUmW1yo/edit?usp=sharing"",""นครสวรรค์!I507"")"),0)</f>
        <v>0</v>
      </c>
      <c r="J612" s="207">
        <f ca="1">IFERROR(__xludf.DUMMYFUNCTION("IMPORTRANGE(""https://docs.google.com/spreadsheets/d/11923uPwbBZFjjGgGUA6NLw09EwE0CqkOc4q9oUmW1yo/edit?usp=sharing"",""นครสวรรค์!J507"")"),14)</f>
        <v>14</v>
      </c>
      <c r="K612" s="171">
        <f t="shared" ca="1" si="127"/>
        <v>28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IFERROR(__xludf.DUMMYFUNCTION("IMPORTRANGE(""https://docs.google.com/spreadsheets/d/11923uPwbBZFjjGgGUA6NLw09EwE0CqkOc4q9oUmW1yo/edit?usp=sharing"",""นครสวรรค์!I508"")"),0)</f>
        <v>0</v>
      </c>
      <c r="J613" s="207">
        <f ca="1">IFERROR(__xludf.DUMMYFUNCTION("IMPORTRANGE(""https://docs.google.com/spreadsheets/d/11923uPwbBZFjjGgGUA6NLw09EwE0CqkOc4q9oUmW1yo/edit?usp=sharing"",""นครสวรรค์!J508"")"),0)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IFERROR(__xludf.DUMMYFUNCTION("IMPORTRANGE(""https://docs.google.com/spreadsheets/d/11923uPwbBZFjjGgGUA6NLw09EwE0CqkOc4q9oUmW1yo/edit?usp=sharing"",""นครสวรรค์!I509"")"),0)</f>
        <v>0</v>
      </c>
      <c r="J614" s="207">
        <f ca="1">IFERROR(__xludf.DUMMYFUNCTION("IMPORTRANGE(""https://docs.google.com/spreadsheets/d/11923uPwbBZFjjGgGUA6NLw09EwE0CqkOc4q9oUmW1yo/edit?usp=sharing"",""นครสวรรค์!J509"")"),0)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IFERROR(__xludf.DUMMYFUNCTION("IMPORTRANGE(""https://docs.google.com/spreadsheets/d/11923uPwbBZFjjGgGUA6NLw09EwE0CqkOc4q9oUmW1yo/edit?usp=sharing"",""นครสวรรค์!I510"")"),0)</f>
        <v>0</v>
      </c>
      <c r="J615" s="207">
        <f ca="1">IFERROR(__xludf.DUMMYFUNCTION("IMPORTRANGE(""https://docs.google.com/spreadsheets/d/11923uPwbBZFjjGgGUA6NLw09EwE0CqkOc4q9oUmW1yo/edit?usp=sharing"",""นครสวรรค์!J510"")"),0)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IFERROR(__xludf.DUMMYFUNCTION("IMPORTRANGE(""https://docs.google.com/spreadsheets/d/11923uPwbBZFjjGgGUA6NLw09EwE0CqkOc4q9oUmW1yo/edit?usp=sharing"",""นครสวรรค์!I511"")"),0)</f>
        <v>0</v>
      </c>
      <c r="J616" s="207">
        <f ca="1">IFERROR(__xludf.DUMMYFUNCTION("IMPORTRANGE(""https://docs.google.com/spreadsheets/d/11923uPwbBZFjjGgGUA6NLw09EwE0CqkOc4q9oUmW1yo/edit?usp=sharing"",""นครสวรรค์!J511"")"),0)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IFERROR(__xludf.DUMMYFUNCTION("IMPORTRANGE(""https://docs.google.com/spreadsheets/d/11923uPwbBZFjjGgGUA6NLw09EwE0CqkOc4q9oUmW1yo/edit?usp=sharing"",""นครสวรรค์!I512"")"),0)</f>
        <v>0</v>
      </c>
      <c r="J617" s="197">
        <f ca="1">IFERROR(__xludf.DUMMYFUNCTION("IMPORTRANGE(""https://docs.google.com/spreadsheets/d/11923uPwbBZFjjGgGUA6NLw09EwE0CqkOc4q9oUmW1yo/edit?usp=sharing"",""นครสวรรค์!J512"")"),0)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IFERROR(__xludf.DUMMYFUNCTION("IMPORTRANGE(""https://docs.google.com/spreadsheets/d/11923uPwbBZFjjGgGUA6NLw09EwE0CqkOc4q9oUmW1yo/edit?usp=sharing"",""นครสวรรค์!I513"")"),0)</f>
        <v>0</v>
      </c>
      <c r="J618" s="198">
        <f ca="1">IFERROR(__xludf.DUMMYFUNCTION("IMPORTRANGE(""https://docs.google.com/spreadsheets/d/11923uPwbBZFjjGgGUA6NLw09EwE0CqkOc4q9oUmW1yo/edit?usp=sharing"",""นครสวรรค์!J513"")"),0)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IFERROR(__xludf.DUMMYFUNCTION("IMPORTRANGE(""https://docs.google.com/spreadsheets/d/11923uPwbBZFjjGgGUA6NLw09EwE0CqkOc4q9oUmW1yo/edit?usp=sharing"",""นครสวรรค์!I514"")"),0)</f>
        <v>0</v>
      </c>
      <c r="J619" s="198">
        <f ca="1">IFERROR(__xludf.DUMMYFUNCTION("IMPORTRANGE(""https://docs.google.com/spreadsheets/d/11923uPwbBZFjjGgGUA6NLw09EwE0CqkOc4q9oUmW1yo/edit?usp=sharing"",""นครสวรรค์!J514"")"),0)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IFERROR(__xludf.DUMMYFUNCTION("IMPORTRANGE(""https://docs.google.com/spreadsheets/d/11923uPwbBZFjjGgGUA6NLw09EwE0CqkOc4q9oUmW1yo/edit?usp=sharing"",""นครสวรรค์!I515"")"),0)</f>
        <v>0</v>
      </c>
      <c r="J620" s="212">
        <f ca="1">IFERROR(__xludf.DUMMYFUNCTION("IMPORTRANGE(""https://docs.google.com/spreadsheets/d/11923uPwbBZFjjGgGUA6NLw09EwE0CqkOc4q9oUmW1yo/edit?usp=sharing"",""นครสวรรค์!J515"")"),0)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IFERROR(__xludf.DUMMYFUNCTION("IMPORTRANGE(""https://docs.google.com/spreadsheets/d/11923uPwbBZFjjGgGUA6NLw09EwE0CqkOc4q9oUmW1yo/edit?usp=sharing"",""นครสวรรค์!I516"")"),0)</f>
        <v>0</v>
      </c>
      <c r="J621" s="212">
        <f ca="1">IFERROR(__xludf.DUMMYFUNCTION("IMPORTRANGE(""https://docs.google.com/spreadsheets/d/11923uPwbBZFjjGgGUA6NLw09EwE0CqkOc4q9oUmW1yo/edit?usp=sharing"",""นครสวรรค์!J516"")"),0)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IFERROR(__xludf.DUMMYFUNCTION("IMPORTRANGE(""https://docs.google.com/spreadsheets/d/11923uPwbBZFjjGgGUA6NLw09EwE0CqkOc4q9oUmW1yo/edit?usp=sharing"",""นครสวรรค์!I517"")"),0)</f>
        <v>0</v>
      </c>
      <c r="J622" s="198">
        <f ca="1">IFERROR(__xludf.DUMMYFUNCTION("IMPORTRANGE(""https://docs.google.com/spreadsheets/d/11923uPwbBZFjjGgGUA6NLw09EwE0CqkOc4q9oUmW1yo/edit?usp=sharing"",""นครสวรรค์!J517"")"),0)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IFERROR(__xludf.DUMMYFUNCTION("IMPORTRANGE(""https://docs.google.com/spreadsheets/d/11923uPwbBZFjjGgGUA6NLw09EwE0CqkOc4q9oUmW1yo/edit?usp=sharing"",""นครสวรรค์!I518"")"),0)</f>
        <v>0</v>
      </c>
      <c r="J623" s="198">
        <f ca="1">IFERROR(__xludf.DUMMYFUNCTION("IMPORTRANGE(""https://docs.google.com/spreadsheets/d/11923uPwbBZFjjGgGUA6NLw09EwE0CqkOc4q9oUmW1yo/edit?usp=sharing"",""นครสวรรค์!J518"")"),0)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IFERROR(__xludf.DUMMYFUNCTION("IMPORTRANGE(""https://docs.google.com/spreadsheets/d/11923uPwbBZFjjGgGUA6NLw09EwE0CqkOc4q9oUmW1yo/edit?usp=sharing"",""นครสวรรค์!I519"")"),0)</f>
        <v>0</v>
      </c>
      <c r="J624" s="197">
        <f ca="1">IFERROR(__xludf.DUMMYFUNCTION("IMPORTRANGE(""https://docs.google.com/spreadsheets/d/11923uPwbBZFjjGgGUA6NLw09EwE0CqkOc4q9oUmW1yo/edit?usp=sharing"",""นครสวรรค์!J519"")"),0)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IFERROR(__xludf.DUMMYFUNCTION("IMPORTRANGE(""https://docs.google.com/spreadsheets/d/11923uPwbBZFjjGgGUA6NLw09EwE0CqkOc4q9oUmW1yo/edit?usp=sharing"",""นครสวรรค์!I520"")"),0)</f>
        <v>0</v>
      </c>
      <c r="J625" s="198">
        <f ca="1">IFERROR(__xludf.DUMMYFUNCTION("IMPORTRANGE(""https://docs.google.com/spreadsheets/d/11923uPwbBZFjjGgGUA6NLw09EwE0CqkOc4q9oUmW1yo/edit?usp=sharing"",""นครสวรรค์!J520"")"),0)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IFERROR(__xludf.DUMMYFUNCTION("IMPORTRANGE(""https://docs.google.com/spreadsheets/d/11923uPwbBZFjjGgGUA6NLw09EwE0CqkOc4q9oUmW1yo/edit?usp=sharing"",""นครสวรรค์!I521"")"),0)</f>
        <v>0</v>
      </c>
      <c r="J626" s="198">
        <f ca="1">IFERROR(__xludf.DUMMYFUNCTION("IMPORTRANGE(""https://docs.google.com/spreadsheets/d/11923uPwbBZFjjGgGUA6NLw09EwE0CqkOc4q9oUmW1yo/edit?usp=sharing"",""นครสวรรค์!J521"")"),0)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IFERROR(__xludf.DUMMYFUNCTION("IMPORTRANGE(""https://docs.google.com/spreadsheets/d/11923uPwbBZFjjGgGUA6NLw09EwE0CqkOc4q9oUmW1yo/edit?usp=sharing"",""นครสวรรค์!I523"")"),1200000)</f>
        <v>1200000</v>
      </c>
      <c r="J628" s="349">
        <f ca="1">IFERROR(__xludf.DUMMYFUNCTION("IMPORTRANGE(""https://docs.google.com/spreadsheets/d/11923uPwbBZFjjGgGUA6NLw09EwE0CqkOc4q9oUmW1yo/edit?usp=sharing"",""นครสวรรค์!J523"")"),0)</f>
        <v>0</v>
      </c>
      <c r="K628" s="350">
        <f t="shared" ref="K628:K635" ca="1" si="129">IF(I628&gt;0,J628*100/I628,0)</f>
        <v>0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IFERROR(__xludf.DUMMYFUNCTION("IMPORTRANGE(""https://docs.google.com/spreadsheets/d/11923uPwbBZFjjGgGUA6NLw09EwE0CqkOc4q9oUmW1yo/edit?usp=sharing"",""นครสวรรค์!I524"")"),60)</f>
        <v>60</v>
      </c>
      <c r="J629" s="349">
        <f ca="1">IFERROR(__xludf.DUMMYFUNCTION("IMPORTRANGE(""https://docs.google.com/spreadsheets/d/11923uPwbBZFjjGgGUA6NLw09EwE0CqkOc4q9oUmW1yo/edit?usp=sharing"",""นครสวรรค์!J524"")"),0)</f>
        <v>0</v>
      </c>
      <c r="K629" s="350">
        <f t="shared" ca="1" si="129"/>
        <v>0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49">
        <f ca="1">IFERROR(__xludf.DUMMYFUNCTION("IMPORTRANGE(""https://docs.google.com/spreadsheets/d/11923uPwbBZFjjGgGUA6NLw09EwE0CqkOc4q9oUmW1yo/edit?usp=sharing"",""นครสวรรค์!J525"")"),194028.72)</f>
        <v>194028.72</v>
      </c>
      <c r="K630" s="350">
        <f t="shared" ca="1" si="129"/>
        <v>3.8919119208327544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IFERROR(__xludf.DUMMYFUNCTION("IMPORTRANGE(""https://docs.google.com/spreadsheets/d/11923uPwbBZFjjGgGUA6NLw09EwE0CqkOc4q9oUmW1yo/edit?usp=sharing"",""นครสวรรค์!I526"")"),266)</f>
        <v>266</v>
      </c>
      <c r="J631" s="349">
        <f ca="1">IFERROR(__xludf.DUMMYFUNCTION("IMPORTRANGE(""https://docs.google.com/spreadsheets/d/11923uPwbBZFjjGgGUA6NLw09EwE0CqkOc4q9oUmW1yo/edit?usp=sharing"",""นครสวรรค์!J526"")"),181)</f>
        <v>181</v>
      </c>
      <c r="K631" s="350">
        <f t="shared" ca="1" si="129"/>
        <v>68.045112781954884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49">
        <f ca="1">IFERROR(__xludf.DUMMYFUNCTION("IMPORTRANGE(""https://docs.google.com/spreadsheets/d/11923uPwbBZFjjGgGUA6NLw09EwE0CqkOc4q9oUmW1yo/edit?usp=sharing"",""นครสวรรค์!J527"")"),5619555.73)</f>
        <v>5619555.7300000004</v>
      </c>
      <c r="K632" s="350">
        <f t="shared" ca="1" si="129"/>
        <v>10.936736831959394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IFERROR(__xludf.DUMMYFUNCTION("IMPORTRANGE(""https://docs.google.com/spreadsheets/d/11923uPwbBZFjjGgGUA6NLw09EwE0CqkOc4q9oUmW1yo/edit?usp=sharing"",""นครสวรรค์!I528"")"),4298)</f>
        <v>4298</v>
      </c>
      <c r="J633" s="349">
        <f ca="1">IFERROR(__xludf.DUMMYFUNCTION("IMPORTRANGE(""https://docs.google.com/spreadsheets/d/11923uPwbBZFjjGgGUA6NLw09EwE0CqkOc4q9oUmW1yo/edit?usp=sharing"",""นครสวรรค์!J528"")"),690)</f>
        <v>690</v>
      </c>
      <c r="K633" s="350">
        <f t="shared" ca="1" si="129"/>
        <v>16.053978594695206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IFERROR(__xludf.DUMMYFUNCTION("IMPORTRANGE(""https://docs.google.com/spreadsheets/d/11923uPwbBZFjjGgGUA6NLw09EwE0CqkOc4q9oUmW1yo/edit?usp=sharing"",""นครสวรรค์!I529"")"),1260000)</f>
        <v>1260000</v>
      </c>
      <c r="J634" s="349">
        <f ca="1">IFERROR(__xludf.DUMMYFUNCTION("IMPORTRANGE(""https://docs.google.com/spreadsheets/d/11923uPwbBZFjjGgGUA6NLw09EwE0CqkOc4q9oUmW1yo/edit?usp=sharing"",""นครสวรรค์!J529"")"),0)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IFERROR(__xludf.DUMMYFUNCTION("IMPORTRANGE(""https://docs.google.com/spreadsheets/d/11923uPwbBZFjjGgGUA6NLw09EwE0CqkOc4q9oUmW1yo/edit?usp=sharing"",""นครสวรรค์!I530"")"),63)</f>
        <v>63</v>
      </c>
      <c r="J635" s="519">
        <f ca="1">IFERROR(__xludf.DUMMYFUNCTION("IMPORTRANGE(""https://docs.google.com/spreadsheets/d/11923uPwbBZFjjGgGUA6NLw09EwE0CqkOc4q9oUmW1yo/edit?usp=sharing"",""นครสวรรค์!J530"")"),0)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9" sqref="J9"/>
      <selection pane="bottomLeft" activeCell="J9" sqref="J9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8.83203125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248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13689069</v>
      </c>
      <c r="M8" s="25">
        <f t="shared" ca="1" si="0"/>
        <v>1912655</v>
      </c>
      <c r="N8" s="25">
        <f t="shared" ca="1" si="0"/>
        <v>1990137</v>
      </c>
      <c r="O8" s="24">
        <f t="shared" ref="O8:O16" ca="1" si="1">IF(L8&gt;0,N8*100/L8,0)</f>
        <v>14.538147188826354</v>
      </c>
      <c r="P8" s="24">
        <f t="shared" ref="P8:P16" ca="1" si="2">IF(M8&gt;0,N8*100/M8,0)</f>
        <v>104.05101808742297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13689069</v>
      </c>
      <c r="M10" s="32">
        <f t="shared" ca="1" si="4"/>
        <v>1912655</v>
      </c>
      <c r="N10" s="32">
        <f t="shared" ca="1" si="4"/>
        <v>1990137</v>
      </c>
      <c r="O10" s="31">
        <f t="shared" ca="1" si="1"/>
        <v>14.538147188826354</v>
      </c>
      <c r="P10" s="31">
        <f t="shared" ca="1" si="2"/>
        <v>104.05101808742297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6398069</v>
      </c>
      <c r="M12" s="40">
        <f t="shared" ca="1" si="6"/>
        <v>1912655</v>
      </c>
      <c r="N12" s="40">
        <f t="shared" ca="1" si="6"/>
        <v>1499537</v>
      </c>
      <c r="O12" s="40">
        <f t="shared" ca="1" si="1"/>
        <v>23.437337109055871</v>
      </c>
      <c r="P12" s="40">
        <f t="shared" ca="1" si="2"/>
        <v>78.400809346170632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1874000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4524069</v>
      </c>
      <c r="M14" s="40">
        <f t="shared" si="8"/>
        <v>0</v>
      </c>
      <c r="N14" s="40">
        <f t="shared" ca="1" si="8"/>
        <v>302954</v>
      </c>
      <c r="O14" s="43">
        <f t="shared" ca="1" si="1"/>
        <v>6.6964937979504731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7291000</v>
      </c>
      <c r="M16" s="40">
        <f t="shared" si="10"/>
        <v>0</v>
      </c>
      <c r="N16" s="40">
        <f t="shared" ca="1" si="10"/>
        <v>490600</v>
      </c>
      <c r="O16" s="52">
        <f t="shared" ca="1" si="1"/>
        <v>6.7288437800027427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10919075</v>
      </c>
      <c r="M18" s="25">
        <f t="shared" ca="1" si="11"/>
        <v>1912655</v>
      </c>
      <c r="N18" s="25">
        <f t="shared" ca="1" si="11"/>
        <v>1687183</v>
      </c>
      <c r="O18" s="24">
        <f t="shared" ref="O18:O20" ca="1" si="12">IF(L18&gt;0,N18*100/L18,0)</f>
        <v>15.451702639646673</v>
      </c>
      <c r="P18" s="24">
        <f t="shared" ref="P18:P26" ca="1" si="13">IF(M18&gt;0,N18*100/M18,0)</f>
        <v>88.21156978127263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10919075</v>
      </c>
      <c r="M20" s="32">
        <f t="shared" ca="1" si="15"/>
        <v>1912655</v>
      </c>
      <c r="N20" s="32">
        <f t="shared" ca="1" si="15"/>
        <v>1687183</v>
      </c>
      <c r="O20" s="31">
        <f t="shared" ca="1" si="12"/>
        <v>15.451702639646673</v>
      </c>
      <c r="P20" s="31">
        <f t="shared" ca="1" si="13"/>
        <v>88.21156978127263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3628075</v>
      </c>
      <c r="M22" s="44">
        <f t="shared" ca="1" si="18"/>
        <v>1912655</v>
      </c>
      <c r="N22" s="43">
        <f t="shared" ca="1" si="18"/>
        <v>1196583</v>
      </c>
      <c r="O22" s="43">
        <f t="shared" ca="1" si="17"/>
        <v>32.981209043363215</v>
      </c>
      <c r="P22" s="43">
        <f t="shared" ca="1" si="13"/>
        <v>62.561361040020287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1874000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1754075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7291000</v>
      </c>
      <c r="M26" s="52">
        <f t="shared" si="22"/>
        <v>0</v>
      </c>
      <c r="N26" s="52">
        <f t="shared" ca="1" si="22"/>
        <v>490600</v>
      </c>
      <c r="O26" s="52">
        <f t="shared" ca="1" si="17"/>
        <v>6.7288437800027427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2769994</v>
      </c>
      <c r="M28" s="25">
        <f t="shared" si="23"/>
        <v>0</v>
      </c>
      <c r="N28" s="25">
        <f t="shared" ca="1" si="23"/>
        <v>302954</v>
      </c>
      <c r="O28" s="24">
        <f t="shared" ref="O28:O30" ca="1" si="24">IF(L28&gt;0,N28*100/L28,0)</f>
        <v>10.936991199258916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2769994</v>
      </c>
      <c r="M30" s="32">
        <f t="shared" si="27"/>
        <v>0</v>
      </c>
      <c r="N30" s="32">
        <f t="shared" ca="1" si="27"/>
        <v>302954</v>
      </c>
      <c r="O30" s="31">
        <f t="shared" ca="1" si="24"/>
        <v>10.936991199258916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2769994</v>
      </c>
      <c r="M32" s="43">
        <f t="shared" si="30"/>
        <v>0</v>
      </c>
      <c r="N32" s="43">
        <f t="shared" ca="1" si="30"/>
        <v>302954</v>
      </c>
      <c r="O32" s="43">
        <f t="shared" ca="1" si="29"/>
        <v>10.936991199258916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2769994</v>
      </c>
      <c r="M34" s="43">
        <f t="shared" si="32"/>
        <v>0</v>
      </c>
      <c r="N34" s="43">
        <f t="shared" ca="1" si="32"/>
        <v>302954</v>
      </c>
      <c r="O34" s="43">
        <f t="shared" ca="1" si="29"/>
        <v>10.936991199258916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10919075</v>
      </c>
      <c r="M37" s="57">
        <f t="shared" ca="1" si="33"/>
        <v>1912655</v>
      </c>
      <c r="N37" s="57">
        <f t="shared" ca="1" si="33"/>
        <v>1687183</v>
      </c>
      <c r="O37" s="58">
        <f t="shared" ca="1" si="29"/>
        <v>15.451702639646673</v>
      </c>
      <c r="P37" s="58">
        <f t="shared" ca="1" si="25"/>
        <v>88.21156978127263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7540500</v>
      </c>
      <c r="M41" s="81">
        <f t="shared" ca="1" si="34"/>
        <v>370300</v>
      </c>
      <c r="N41" s="81">
        <f t="shared" ca="1" si="34"/>
        <v>272130</v>
      </c>
      <c r="O41" s="80">
        <f t="shared" ref="O41:O43" ca="1" si="35">IF(L41&gt;0,N41*100/L41,0)</f>
        <v>3.6089118758703003</v>
      </c>
      <c r="P41" s="80">
        <f t="shared" ref="P41:P43" ca="1" si="36">IF(M41&gt;0,N41*100/M41,0)</f>
        <v>73.489062921955167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7540500</v>
      </c>
      <c r="M43" s="81">
        <f t="shared" ca="1" si="38"/>
        <v>370300</v>
      </c>
      <c r="N43" s="81">
        <f t="shared" ca="1" si="38"/>
        <v>272130</v>
      </c>
      <c r="O43" s="80">
        <f t="shared" ca="1" si="35"/>
        <v>3.6089118758703003</v>
      </c>
      <c r="P43" s="80">
        <f t="shared" ca="1" si="36"/>
        <v>73.489062921955167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740500</v>
      </c>
      <c r="M45" s="93">
        <f ca="1">IFERROR(__xludf.DUMMYFUNCTION("IMPORTRANGE(""https://docs.google.com/spreadsheets/d/1Yj_ptqi66GCucihVvJfMjLAmec39IyEx_6qawtMGysU/edit?usp=sharing"",""สบก!Q25"")"),370300)</f>
        <v>370300</v>
      </c>
      <c r="N45" s="93">
        <f ca="1">IFERROR(__xludf.DUMMYFUNCTION("IMPORTRANGE(""https://docs.google.com/spreadsheets/d/1Yj_ptqi66GCucihVvJfMjLAmec39IyEx_6qawtMGysU/edit?usp=sharing"",""สบก!R25"")"),272130)</f>
        <v>272130</v>
      </c>
      <c r="O45" s="94">
        <f ca="1">IF(L45&gt;0,N45*100/L45,0)</f>
        <v>36.749493585415259</v>
      </c>
      <c r="P45" s="94">
        <f ca="1">IF(M45&gt;0,N45*100/M45,0)</f>
        <v>73.489062921955167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IFERROR(__xludf.DUMMYFUNCTION("IMPORTRANGE(""https://docs.google.com/spreadsheets/d/1Yj_ptqi66GCucihVvJfMjLAmec39IyEx_6qawtMGysU/edit?usp=sharing"",""สบก!M25"")"),740500)</f>
        <v>740500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IFERROR(__xludf.DUMMYFUNCTION("IMPORTRANGE(""https://docs.google.com/spreadsheets/d/1Yj_ptqi66GCucihVvJfMjLAmec39IyEx_6qawtMGysU/edit?usp=sharing"",""สบก!N25"")"),0)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IFERROR(__xludf.DUMMYFUNCTION("IMPORTRANGE(""https://docs.google.com/spreadsheets/d/1Yj_ptqi66GCucihVvJfMjLAmec39IyEx_6qawtMGysU/edit?usp=sharing"",""สบก!O25"")"),6800000)</f>
        <v>6800000</v>
      </c>
      <c r="M49" s="103"/>
      <c r="N49" s="93">
        <f ca="1">IFERROR(__xludf.DUMMYFUNCTION("IMPORTRANGE(""https://docs.google.com/spreadsheets/d/1Yj_ptqi66GCucihVvJfMjLAmec39IyEx_6qawtMGysU/edit?usp=sharing"",""สบก!S25"")"),0)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400000</v>
      </c>
      <c r="M53" s="127">
        <f t="shared" ca="1" si="39"/>
        <v>204500</v>
      </c>
      <c r="N53" s="127">
        <f t="shared" ca="1" si="39"/>
        <v>196288</v>
      </c>
      <c r="O53" s="126">
        <f t="shared" ref="O53:O55" ca="1" si="40">IF(L53&gt;0,N53*100/L53,0)</f>
        <v>49.072000000000003</v>
      </c>
      <c r="P53" s="126">
        <f t="shared" ref="P53:P55" ca="1" si="41">IF(M53&gt;0,N53*100/M53,0)</f>
        <v>95.98435207823961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400000</v>
      </c>
      <c r="M55" s="127">
        <f t="shared" ca="1" si="43"/>
        <v>204500</v>
      </c>
      <c r="N55" s="127">
        <f t="shared" ca="1" si="43"/>
        <v>196288</v>
      </c>
      <c r="O55" s="126">
        <f t="shared" ca="1" si="40"/>
        <v>49.072000000000003</v>
      </c>
      <c r="P55" s="126">
        <f t="shared" ca="1" si="41"/>
        <v>95.98435207823961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400000</v>
      </c>
      <c r="M57" s="93">
        <f ca="1">IFERROR(__xludf.DUMMYFUNCTION("IMPORTRANGE(""https://docs.google.com/spreadsheets/d/1Yj_ptqi66GCucihVvJfMjLAmec39IyEx_6qawtMGysU/edit?usp=sharing"",""สบก!Z25"")"),204500)</f>
        <v>204500</v>
      </c>
      <c r="N57" s="93">
        <f ca="1">IFERROR(__xludf.DUMMYFUNCTION("IMPORTRANGE(""https://docs.google.com/spreadsheets/d/1Yj_ptqi66GCucihVvJfMjLAmec39IyEx_6qawtMGysU/edit?usp=sharing"",""สบก!AA25"")"),196288)</f>
        <v>196288</v>
      </c>
      <c r="O57" s="94">
        <f ca="1">IF(L57&gt;0,N57*100/L57,0)</f>
        <v>49.072000000000003</v>
      </c>
      <c r="P57" s="94">
        <f ca="1">IF(M57&gt;0,N57*100/M57,0)</f>
        <v>95.98435207823961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IFERROR(__xludf.DUMMYFUNCTION("IMPORTRANGE(""https://docs.google.com/spreadsheets/d/1Yj_ptqi66GCucihVvJfMjLAmec39IyEx_6qawtMGysU/edit?usp=sharing"",""สบก!V25"")"),400000)</f>
        <v>400000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IFERROR(__xludf.DUMMYFUNCTION("IMPORTRANGE(""https://docs.google.com/spreadsheets/d/1Yj_ptqi66GCucihVvJfMjLAmec39IyEx_6qawtMGysU/edit?usp=sharing"",""สบก!W25"")"),0)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IFERROR(__xludf.DUMMYFUNCTION("IMPORTRANGE(""https://docs.google.com/spreadsheets/d/1Yj_ptqi66GCucihVvJfMjLAmec39IyEx_6qawtMGysU/edit?usp=sharing"",""สบก!X25"")"),0)</f>
        <v>0</v>
      </c>
      <c r="M61" s="103"/>
      <c r="N61" s="93">
        <f ca="1">IFERROR(__xludf.DUMMYFUNCTION("IMPORTRANGE(""https://docs.google.com/spreadsheets/d/1Yj_ptqi66GCucihVvJfMjLAmec39IyEx_6qawtMGysU/edit?usp=sharing"",""สบก!AB25"")"),0)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IFERROR(__xludf.DUMMYFUNCTION("IMPORTRANGE(""https://docs.google.com/spreadsheets/d/11923uPwbBZFjjGgGUA6NLw09EwE0CqkOc4q9oUmW1yo/edit?usp=sharing"",""น่าน!I9"")"),1)</f>
        <v>1</v>
      </c>
      <c r="J64" s="148">
        <f ca="1">IFERROR(__xludf.DUMMYFUNCTION("IMPORTRANGE(""https://docs.google.com/spreadsheets/d/11923uPwbBZFjjGgGUA6NLw09EwE0CqkOc4q9oUmW1yo/edit?usp=sharing"",""น่าน!J9"")"),0)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IFERROR(__xludf.DUMMYFUNCTION("IMPORTRANGE(""https://docs.google.com/spreadsheets/d/11923uPwbBZFjjGgGUA6NLw09EwE0CqkOc4q9oUmW1yo/edit?usp=sharing"",""น่าน!I10"")"),63)</f>
        <v>63</v>
      </c>
      <c r="J65" s="148">
        <f ca="1">IFERROR(__xludf.DUMMYFUNCTION("IMPORTRANGE(""https://docs.google.com/spreadsheets/d/11923uPwbBZFjjGgGUA6NLw09EwE0CqkOc4q9oUmW1yo/edit?usp=sharing"",""น่าน!J10"")"),0)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937200</v>
      </c>
      <c r="M66" s="158">
        <f t="shared" ca="1" si="45"/>
        <v>313420</v>
      </c>
      <c r="N66" s="158">
        <f t="shared" ca="1" si="45"/>
        <v>469611</v>
      </c>
      <c r="O66" s="157">
        <f t="shared" ref="O66:O68" ca="1" si="46">IF(L66&gt;0,N66*100/L66,0)</f>
        <v>50.107874519846348</v>
      </c>
      <c r="P66" s="157">
        <f t="shared" ref="P66:P68" ca="1" si="47">IF(M66&gt;0,N66*100/M66,0)</f>
        <v>149.83440750430731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937200</v>
      </c>
      <c r="M68" s="163">
        <f t="shared" ca="1" si="49"/>
        <v>313420</v>
      </c>
      <c r="N68" s="163">
        <f t="shared" ca="1" si="49"/>
        <v>469611</v>
      </c>
      <c r="O68" s="162">
        <f t="shared" ca="1" si="46"/>
        <v>50.107874519846348</v>
      </c>
      <c r="P68" s="162">
        <f t="shared" ca="1" si="47"/>
        <v>149.83440750430731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553600</v>
      </c>
      <c r="M70" s="176">
        <f ca="1">IFERROR(__xludf.DUMMYFUNCTION("IMPORTRANGE(""https://docs.google.com/spreadsheets/d/1Yj_ptqi66GCucihVvJfMjLAmec39IyEx_6qawtMGysU/edit?usp=sharing"",""สบก!AI25"")"),313420)</f>
        <v>313420</v>
      </c>
      <c r="N70" s="177">
        <f ca="1">IFERROR(__xludf.DUMMYFUNCTION("IMPORTRANGE(""https://docs.google.com/spreadsheets/d/1Yj_ptqi66GCucihVvJfMjLAmec39IyEx_6qawtMGysU/edit?usp=sharing"",""สบก!AJ25"")"),86011)</f>
        <v>86011</v>
      </c>
      <c r="O70" s="178">
        <f ca="1">IF(L70&gt;0,N70*100/L70,0)</f>
        <v>15.536669075144509</v>
      </c>
      <c r="P70" s="178">
        <f ca="1">IF(M70&gt;0,N70*100/M70,0)</f>
        <v>27.442728606981049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IFERROR(__xludf.DUMMYFUNCTION("IMPORTRANGE(""https://docs.google.com/spreadsheets/d/1Yj_ptqi66GCucihVvJfMjLAmec39IyEx_6qawtMGysU/edit?usp=sharing"",""สบก!AE25"")"),0)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IFERROR(__xludf.DUMMYFUNCTION("IMPORTRANGE(""https://docs.google.com/spreadsheets/d/1Yj_ptqi66GCucihVvJfMjLAmec39IyEx_6qawtMGysU/edit?usp=sharing"",""สบก!AF25"")"),553600)</f>
        <v>553600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IFERROR(__xludf.DUMMYFUNCTION("IMPORTRANGE(""https://docs.google.com/spreadsheets/d/1Yj_ptqi66GCucihVvJfMjLAmec39IyEx_6qawtMGysU/edit?usp=sharing"",""สบก!AG25"")"),383600)</f>
        <v>383600</v>
      </c>
      <c r="M74" s="103"/>
      <c r="N74" s="93">
        <f ca="1">IFERROR(__xludf.DUMMYFUNCTION("IMPORTRANGE(""https://docs.google.com/spreadsheets/d/1Yj_ptqi66GCucihVvJfMjLAmec39IyEx_6qawtMGysU/edit?usp=sharing"",""สบก!AK25"")"),383600)</f>
        <v>383600</v>
      </c>
      <c r="O74" s="103">
        <f ca="1">IF(L74&gt;0,N74*100/L74,0)</f>
        <v>100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IFERROR(__xludf.DUMMYFUNCTION("IMPORTRANGE(""https://docs.google.com/spreadsheets/d/11923uPwbBZFjjGgGUA6NLw09EwE0CqkOc4q9oUmW1yo/edit?usp=sharing"",""น่าน!J16"")"),0)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IFERROR(__xludf.DUMMYFUNCTION("IMPORTRANGE(""https://docs.google.com/spreadsheets/d/11923uPwbBZFjjGgGUA6NLw09EwE0CqkOc4q9oUmW1yo/edit?usp=sharing"",""น่าน!J17"")"),1)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IFERROR(__xludf.DUMMYFUNCTION("IMPORTRANGE(""https://docs.google.com/spreadsheets/d/11923uPwbBZFjjGgGUA6NLw09EwE0CqkOc4q9oUmW1yo/edit?usp=sharing"",""น่าน!J18"")"),1)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IFERROR(__xludf.DUMMYFUNCTION("IMPORTRANGE(""https://docs.google.com/spreadsheets/d/11923uPwbBZFjjGgGUA6NLw09EwE0CqkOc4q9oUmW1yo/edit?usp=sharing"",""น่าน!J19"")"),1)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IFERROR(__xludf.DUMMYFUNCTION("IMPORTRANGE(""https://docs.google.com/spreadsheets/d/11923uPwbBZFjjGgGUA6NLw09EwE0CqkOc4q9oUmW1yo/edit?usp=sharing"",""น่าน!I20"")"),1)</f>
        <v>1</v>
      </c>
      <c r="J80" s="210">
        <f ca="1">IFERROR(__xludf.DUMMYFUNCTION("IMPORTRANGE(""https://docs.google.com/spreadsheets/d/11923uPwbBZFjjGgGUA6NLw09EwE0CqkOc4q9oUmW1yo/edit?usp=sharing"",""น่าน!J20"")"),0)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IFERROR(__xludf.DUMMYFUNCTION("IMPORTRANGE(""https://docs.google.com/spreadsheets/d/11923uPwbBZFjjGgGUA6NLw09EwE0CqkOc4q9oUmW1yo/edit?usp=sharing"",""น่าน!I21"")"),63)</f>
        <v>63</v>
      </c>
      <c r="J81" s="210">
        <f ca="1">IFERROR(__xludf.DUMMYFUNCTION("IMPORTRANGE(""https://docs.google.com/spreadsheets/d/11923uPwbBZFjjGgGUA6NLw09EwE0CqkOc4q9oUmW1yo/edit?usp=sharing"",""น่าน!J21"")"),0)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IFERROR(__xludf.DUMMYFUNCTION("IMPORTRANGE(""https://docs.google.com/spreadsheets/d/11923uPwbBZFjjGgGUA6NLw09EwE0CqkOc4q9oUmW1yo/edit?usp=sharing"",""น่าน!I22"")"),0)</f>
        <v>0</v>
      </c>
      <c r="J82" s="213">
        <f ca="1">IFERROR(__xludf.DUMMYFUNCTION("IMPORTRANGE(""https://docs.google.com/spreadsheets/d/11923uPwbBZFjjGgGUA6NLw09EwE0CqkOc4q9oUmW1yo/edit?usp=sharing"",""น่าน!J22"")"),0)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IFERROR(__xludf.DUMMYFUNCTION("IMPORTRANGE(""https://docs.google.com/spreadsheets/d/11923uPwbBZFjjGgGUA6NLw09EwE0CqkOc4q9oUmW1yo/edit?usp=sharing"",""น่าน!I23"")"),0)</f>
        <v>0</v>
      </c>
      <c r="J83" s="213">
        <f ca="1">IFERROR(__xludf.DUMMYFUNCTION("IMPORTRANGE(""https://docs.google.com/spreadsheets/d/11923uPwbBZFjjGgGUA6NLw09EwE0CqkOc4q9oUmW1yo/edit?usp=sharing"",""น่าน!J23"")"),0)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IFERROR(__xludf.DUMMYFUNCTION("IMPORTRANGE(""https://docs.google.com/spreadsheets/d/11923uPwbBZFjjGgGUA6NLw09EwE0CqkOc4q9oUmW1yo/edit?usp=sharing"",""น่าน!I24"")"),0)</f>
        <v>0</v>
      </c>
      <c r="J84" s="198">
        <f ca="1">IFERROR(__xludf.DUMMYFUNCTION("IMPORTRANGE(""https://docs.google.com/spreadsheets/d/11923uPwbBZFjjGgGUA6NLw09EwE0CqkOc4q9oUmW1yo/edit?usp=sharing"",""น่าน!J24"")"),0)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IFERROR(__xludf.DUMMYFUNCTION("IMPORTRANGE(""https://docs.google.com/spreadsheets/d/11923uPwbBZFjjGgGUA6NLw09EwE0CqkOc4q9oUmW1yo/edit?usp=sharing"",""น่าน!I25"")"),0)</f>
        <v>0</v>
      </c>
      <c r="J85" s="198">
        <f ca="1">IFERROR(__xludf.DUMMYFUNCTION("IMPORTRANGE(""https://docs.google.com/spreadsheets/d/11923uPwbBZFjjGgGUA6NLw09EwE0CqkOc4q9oUmW1yo/edit?usp=sharing"",""น่าน!J25"")"),0)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IFERROR(__xludf.DUMMYFUNCTION("IMPORTRANGE(""https://docs.google.com/spreadsheets/d/11923uPwbBZFjjGgGUA6NLw09EwE0CqkOc4q9oUmW1yo/edit?usp=sharing"",""น่าน!I26"")"),1)</f>
        <v>1</v>
      </c>
      <c r="J86" s="213">
        <f ca="1">IFERROR(__xludf.DUMMYFUNCTION("IMPORTRANGE(""https://docs.google.com/spreadsheets/d/11923uPwbBZFjjGgGUA6NLw09EwE0CqkOc4q9oUmW1yo/edit?usp=sharing"",""น่าน!J26"")"),0)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IFERROR(__xludf.DUMMYFUNCTION("IMPORTRANGE(""https://docs.google.com/spreadsheets/d/11923uPwbBZFjjGgGUA6NLw09EwE0CqkOc4q9oUmW1yo/edit?usp=sharing"",""น่าน!I27"")"),63)</f>
        <v>63</v>
      </c>
      <c r="J87" s="213">
        <f ca="1">IFERROR(__xludf.DUMMYFUNCTION("IMPORTRANGE(""https://docs.google.com/spreadsheets/d/11923uPwbBZFjjGgGUA6NLw09EwE0CqkOc4q9oUmW1yo/edit?usp=sharing"",""น่าน!J27"")"),0)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IFERROR(__xludf.DUMMYFUNCTION("IMPORTRANGE(""https://docs.google.com/spreadsheets/d/11923uPwbBZFjjGgGUA6NLw09EwE0CqkOc4q9oUmW1yo/edit?usp=sharing"",""น่าน!I28"")"),0)</f>
        <v>0</v>
      </c>
      <c r="J88" s="213">
        <f ca="1">IFERROR(__xludf.DUMMYFUNCTION("IMPORTRANGE(""https://docs.google.com/spreadsheets/d/11923uPwbBZFjjGgGUA6NLw09EwE0CqkOc4q9oUmW1yo/edit?usp=sharing"",""น่าน!J28"")"),0)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IFERROR(__xludf.DUMMYFUNCTION("IMPORTRANGE(""https://docs.google.com/spreadsheets/d/11923uPwbBZFjjGgGUA6NLw09EwE0CqkOc4q9oUmW1yo/edit?usp=sharing"",""น่าน!J29"")"),0)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IFERROR(__xludf.DUMMYFUNCTION("IMPORTRANGE(""https://docs.google.com/spreadsheets/d/11923uPwbBZFjjGgGUA6NLw09EwE0CqkOc4q9oUmW1yo/edit?usp=sharing"",""น่าน!J30"")"),0)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IFERROR(__xludf.DUMMYFUNCTION("IMPORTRANGE(""https://docs.google.com/spreadsheets/d/11923uPwbBZFjjGgGUA6NLw09EwE0CqkOc4q9oUmW1yo/edit?usp=sharing"",""น่าน!I32"")"),4)</f>
        <v>4</v>
      </c>
      <c r="J92" s="148">
        <f ca="1">IFERROR(__xludf.DUMMYFUNCTION("IMPORTRANGE(""https://docs.google.com/spreadsheets/d/11923uPwbBZFjjGgGUA6NLw09EwE0CqkOc4q9oUmW1yo/edit?usp=sharing"",""น่าน!J32"")"),4)</f>
        <v>4</v>
      </c>
      <c r="K92" s="149">
        <f t="shared" ref="K92:K93" ca="1" si="51">IF(I92&gt;0,J92*100/I92,0)</f>
        <v>100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IFERROR(__xludf.DUMMYFUNCTION("IMPORTRANGE(""https://docs.google.com/spreadsheets/d/11923uPwbBZFjjGgGUA6NLw09EwE0CqkOc4q9oUmW1yo/edit?usp=sharing"",""น่าน!I33"")"),1)</f>
        <v>1</v>
      </c>
      <c r="J93" s="148">
        <f ca="1">IFERROR(__xludf.DUMMYFUNCTION("IMPORTRANGE(""https://docs.google.com/spreadsheets/d/11923uPwbBZFjjGgGUA6NLw09EwE0CqkOc4q9oUmW1yo/edit?usp=sharing"",""น่าน!J33"")"),0)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109674</v>
      </c>
      <c r="O94" s="157">
        <f t="shared" ref="O94:O96" ca="1" si="53">IF(L94&gt;0,N94*100/L94,0)</f>
        <v>51.130069930069929</v>
      </c>
      <c r="P94" s="157">
        <f t="shared" ref="P94:P96" ca="1" si="54">IF(M94&gt;0,N94*100/M94,0)</f>
        <v>159.57223919685725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109674</v>
      </c>
      <c r="O96" s="162">
        <f t="shared" ca="1" si="53"/>
        <v>51.130069930069929</v>
      </c>
      <c r="P96" s="162">
        <f t="shared" ca="1" si="54"/>
        <v>159.57223919685725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IFERROR(__xludf.DUMMYFUNCTION("IMPORTRANGE(""https://docs.google.com/spreadsheets/d/1Yj_ptqi66GCucihVvJfMjLAmec39IyEx_6qawtMGysU/edit?usp=sharing"",""สบก!AR25"")"),68730)</f>
        <v>68730</v>
      </c>
      <c r="N98" s="177">
        <f ca="1">IFERROR(__xludf.DUMMYFUNCTION("IMPORTRANGE(""https://docs.google.com/spreadsheets/d/1Yj_ptqi66GCucihVvJfMjLAmec39IyEx_6qawtMGysU/edit?usp=sharing"",""สบก!AS25"")"),17674)</f>
        <v>17674</v>
      </c>
      <c r="O98" s="178">
        <f ca="1">IF(L98&gt;0,N98*100/L98,0)</f>
        <v>14.475020475020475</v>
      </c>
      <c r="P98" s="178">
        <f ca="1">IF(M98&gt;0,N98*100/M98,0)</f>
        <v>25.715117124981813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IFERROR(__xludf.DUMMYFUNCTION("IMPORTRANGE(""https://docs.google.com/spreadsheets/d/1Yj_ptqi66GCucihVvJfMjLAmec39IyEx_6qawtMGysU/edit?usp=sharing"",""สบก!AN25"")"),0)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IFERROR(__xludf.DUMMYFUNCTION("IMPORTRANGE(""https://docs.google.com/spreadsheets/d/1Yj_ptqi66GCucihVvJfMjLAmec39IyEx_6qawtMGysU/edit?usp=sharing"",""สบก!AO25"")"),122100)</f>
        <v>122100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IFERROR(__xludf.DUMMYFUNCTION("IMPORTRANGE(""https://docs.google.com/spreadsheets/d/1Yj_ptqi66GCucihVvJfMjLAmec39IyEx_6qawtMGysU/edit?usp=sharing"",""สบก!AP25"")"),92400)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IFERROR(__xludf.DUMMYFUNCTION("IMPORTRANGE(""https://docs.google.com/spreadsheets/d/1Yj_ptqi66GCucihVvJfMjLAmec39IyEx_6qawtMGysU/edit?usp=sharing"",""สบก!AT25"")"),92000)</f>
        <v>92000</v>
      </c>
      <c r="O102" s="103">
        <f ca="1">IF(L102&gt;0,N102*100/L102,0)</f>
        <v>99.567099567099561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IFERROR(__xludf.DUMMYFUNCTION("IMPORTRANGE(""https://docs.google.com/spreadsheets/d/11923uPwbBZFjjGgGUA6NLw09EwE0CqkOc4q9oUmW1yo/edit?usp=sharing"",""น่าน!J39"")"),0)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IFERROR(__xludf.DUMMYFUNCTION("IMPORTRANGE(""https://docs.google.com/spreadsheets/d/11923uPwbBZFjjGgGUA6NLw09EwE0CqkOc4q9oUmW1yo/edit?usp=sharing"",""น่าน!J40"")"),1)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IFERROR(__xludf.DUMMYFUNCTION("IMPORTRANGE(""https://docs.google.com/spreadsheets/d/11923uPwbBZFjjGgGUA6NLw09EwE0CqkOc4q9oUmW1yo/edit?usp=sharing"",""น่าน!J41"")"),1)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IFERROR(__xludf.DUMMYFUNCTION("IMPORTRANGE(""https://docs.google.com/spreadsheets/d/11923uPwbBZFjjGgGUA6NLw09EwE0CqkOc4q9oUmW1yo/edit?usp=sharing"",""น่าน!J42"")"),1)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IFERROR(__xludf.DUMMYFUNCTION("IMPORTRANGE(""https://docs.google.com/spreadsheets/d/11923uPwbBZFjjGgGUA6NLw09EwE0CqkOc4q9oUmW1yo/edit?usp=sharing"",""น่าน!I43"")"),1)</f>
        <v>1</v>
      </c>
      <c r="J108" s="213">
        <f ca="1">IFERROR(__xludf.DUMMYFUNCTION("IMPORTRANGE(""https://docs.google.com/spreadsheets/d/11923uPwbBZFjjGgGUA6NLw09EwE0CqkOc4q9oUmW1yo/edit?usp=sharing"",""น่าน!J43"")"),1)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IFERROR(__xludf.DUMMYFUNCTION("IMPORTRANGE(""https://docs.google.com/spreadsheets/d/11923uPwbBZFjjGgGUA6NLw09EwE0CqkOc4q9oUmW1yo/edit?usp=sharing"",""น่าน!I44"")"),4)</f>
        <v>4</v>
      </c>
      <c r="J109" s="213">
        <f ca="1">IFERROR(__xludf.DUMMYFUNCTION("IMPORTRANGE(""https://docs.google.com/spreadsheets/d/11923uPwbBZFjjGgGUA6NLw09EwE0CqkOc4q9oUmW1yo/edit?usp=sharing"",""น่าน!J44"")"),4)</f>
        <v>4</v>
      </c>
      <c r="K109" s="233">
        <f t="shared" ca="1" si="57"/>
        <v>100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IFERROR(__xludf.DUMMYFUNCTION("IMPORTRANGE(""https://docs.google.com/spreadsheets/d/11923uPwbBZFjjGgGUA6NLw09EwE0CqkOc4q9oUmW1yo/edit?usp=sharing"",""น่าน!I45"")"),4)</f>
        <v>4</v>
      </c>
      <c r="J110" s="213">
        <f ca="1">IFERROR(__xludf.DUMMYFUNCTION("IMPORTRANGE(""https://docs.google.com/spreadsheets/d/11923uPwbBZFjjGgGUA6NLw09EwE0CqkOc4q9oUmW1yo/edit?usp=sharing"",""น่าน!J45"")"),4)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IFERROR(__xludf.DUMMYFUNCTION("IMPORTRANGE(""https://docs.google.com/spreadsheets/d/11923uPwbBZFjjGgGUA6NLw09EwE0CqkOc4q9oUmW1yo/edit?usp=sharing"",""น่าน!I46"")"),4)</f>
        <v>4</v>
      </c>
      <c r="J111" s="213">
        <f ca="1">IFERROR(__xludf.DUMMYFUNCTION("IMPORTRANGE(""https://docs.google.com/spreadsheets/d/11923uPwbBZFjjGgGUA6NLw09EwE0CqkOc4q9oUmW1yo/edit?usp=sharing"",""น่าน!J46"")"),0)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IFERROR(__xludf.DUMMYFUNCTION("IMPORTRANGE(""https://docs.google.com/spreadsheets/d/11923uPwbBZFjjGgGUA6NLw09EwE0CqkOc4q9oUmW1yo/edit?usp=sharing"",""น่าน!I47"")"),4)</f>
        <v>4</v>
      </c>
      <c r="J112" s="213">
        <f ca="1">IFERROR(__xludf.DUMMYFUNCTION("IMPORTRANGE(""https://docs.google.com/spreadsheets/d/11923uPwbBZFjjGgGUA6NLw09EwE0CqkOc4q9oUmW1yo/edit?usp=sharing"",""น่าน!J47"")"),0)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IFERROR(__xludf.DUMMYFUNCTION("IMPORTRANGE(""https://docs.google.com/spreadsheets/d/11923uPwbBZFjjGgGUA6NLw09EwE0CqkOc4q9oUmW1yo/edit?usp=sharing"",""น่าน!I48"")"),1)</f>
        <v>1</v>
      </c>
      <c r="J113" s="213">
        <f ca="1">IFERROR(__xludf.DUMMYFUNCTION("IMPORTRANGE(""https://docs.google.com/spreadsheets/d/11923uPwbBZFjjGgGUA6NLw09EwE0CqkOc4q9oUmW1yo/edit?usp=sharing"",""น่าน!J48"")"),0)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IFERROR(__xludf.DUMMYFUNCTION("IMPORTRANGE(""https://docs.google.com/spreadsheets/d/11923uPwbBZFjjGgGUA6NLw09EwE0CqkOc4q9oUmW1yo/edit?usp=sharing"",""น่าน!J49"")"),0)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IFERROR(__xludf.DUMMYFUNCTION("IMPORTRANGE(""https://docs.google.com/spreadsheets/d/11923uPwbBZFjjGgGUA6NLw09EwE0CqkOc4q9oUmW1yo/edit?usp=sharing"",""น่าน!J50"")"),0)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IFERROR(__xludf.DUMMYFUNCTION("IMPORTRANGE(""https://docs.google.com/spreadsheets/d/11923uPwbBZFjjGgGUA6NLw09EwE0CqkOc4q9oUmW1yo/edit?usp=sharing"",""น่าน!I52"")"),0)</f>
        <v>0</v>
      </c>
      <c r="J117" s="148">
        <f ca="1">IFERROR(__xludf.DUMMYFUNCTION("IMPORTRANGE(""https://docs.google.com/spreadsheets/d/11923uPwbBZFjjGgGUA6NLw09EwE0CqkOc4q9oUmW1yo/edit?usp=sharing"",""น่าน!J52"")"),0)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IFERROR(__xludf.DUMMYFUNCTION("IMPORTRANGE(""https://docs.google.com/spreadsheets/d/1Yj_ptqi66GCucihVvJfMjLAmec39IyEx_6qawtMGysU/edit?usp=sharing"",""สบก!BA25"")"),0)</f>
        <v>0</v>
      </c>
      <c r="N122" s="177">
        <f ca="1">IFERROR(__xludf.DUMMYFUNCTION("IMPORTRANGE(""https://docs.google.com/spreadsheets/d/1Yj_ptqi66GCucihVvJfMjLAmec39IyEx_6qawtMGysU/edit?usp=sharing"",""สบก!BB25"")"),0)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IFERROR(__xludf.DUMMYFUNCTION("IMPORTRANGE(""https://docs.google.com/spreadsheets/d/1Yj_ptqi66GCucihVvJfMjLAmec39IyEx_6qawtMGysU/edit?usp=sharing"",""สบก!AW25"")"),0)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IFERROR(__xludf.DUMMYFUNCTION("IMPORTRANGE(""https://docs.google.com/spreadsheets/d/1Yj_ptqi66GCucihVvJfMjLAmec39IyEx_6qawtMGysU/edit?usp=sharing"",""สบก!AX25"")"),0)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IFERROR(__xludf.DUMMYFUNCTION("IMPORTRANGE(""https://docs.google.com/spreadsheets/d/1Yj_ptqi66GCucihVvJfMjLAmec39IyEx_6qawtMGysU/edit?usp=sharing"",""สบก!AY25"")"),0)</f>
        <v>0</v>
      </c>
      <c r="M126" s="103"/>
      <c r="N126" s="93">
        <f ca="1">IFERROR(__xludf.DUMMYFUNCTION("IMPORTRANGE(""https://docs.google.com/spreadsheets/d/1Yj_ptqi66GCucihVvJfMjLAmec39IyEx_6qawtMGysU/edit?usp=sharing"",""สบก!BC25"")"),0)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249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IFERROR(__xludf.DUMMYFUNCTION("IMPORTRANGE(""https://docs.google.com/spreadsheets/d/11923uPwbBZFjjGgGUA6NLw09EwE0CqkOc4q9oUmW1yo/edit?usp=sharing"",""น่าน!J58"")"),0)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IFERROR(__xludf.DUMMYFUNCTION("IMPORTRANGE(""https://docs.google.com/spreadsheets/d/11923uPwbBZFjjGgGUA6NLw09EwE0CqkOc4q9oUmW1yo/edit?usp=sharing"",""น่าน!J59"")"),0)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IFERROR(__xludf.DUMMYFUNCTION("IMPORTRANGE(""https://docs.google.com/spreadsheets/d/11923uPwbBZFjjGgGUA6NLw09EwE0CqkOc4q9oUmW1yo/edit?usp=sharing"",""น่าน!J60"")"),0)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IFERROR(__xludf.DUMMYFUNCTION("IMPORTRANGE(""https://docs.google.com/spreadsheets/d/11923uPwbBZFjjGgGUA6NLw09EwE0CqkOc4q9oUmW1yo/edit?usp=sharing"",""น่าน!J61"")"),0)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IFERROR(__xludf.DUMMYFUNCTION("IMPORTRANGE(""https://docs.google.com/spreadsheets/d/11923uPwbBZFjjGgGUA6NLw09EwE0CqkOc4q9oUmW1yo/edit?usp=sharing"",""น่าน!I62"")"),0)</f>
        <v>0</v>
      </c>
      <c r="J132" s="213">
        <f ca="1">IFERROR(__xludf.DUMMYFUNCTION("IMPORTRANGE(""https://docs.google.com/spreadsheets/d/11923uPwbBZFjjGgGUA6NLw09EwE0CqkOc4q9oUmW1yo/edit?usp=sharing"",""น่าน!J62"")"),0)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IFERROR(__xludf.DUMMYFUNCTION("IMPORTRANGE(""https://docs.google.com/spreadsheets/d/11923uPwbBZFjjGgGUA6NLw09EwE0CqkOc4q9oUmW1yo/edit?usp=sharing"",""น่าน!I63"")"),0)</f>
        <v>0</v>
      </c>
      <c r="J133" s="213">
        <f ca="1">IFERROR(__xludf.DUMMYFUNCTION("IMPORTRANGE(""https://docs.google.com/spreadsheets/d/11923uPwbBZFjjGgGUA6NLw09EwE0CqkOc4q9oUmW1yo/edit?usp=sharing"",""น่าน!J63"")"),0)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IFERROR(__xludf.DUMMYFUNCTION("IMPORTRANGE(""https://docs.google.com/spreadsheets/d/11923uPwbBZFjjGgGUA6NLw09EwE0CqkOc4q9oUmW1yo/edit?usp=sharing"",""น่าน!J64"")"),0)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IFERROR(__xludf.DUMMYFUNCTION("IMPORTRANGE(""https://docs.google.com/spreadsheets/d/11923uPwbBZFjjGgGUA6NLw09EwE0CqkOc4q9oUmW1yo/edit?usp=sharing"",""น่าน!J65"")"),0)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IFERROR(__xludf.DUMMYFUNCTION("IMPORTRANGE(""https://docs.google.com/spreadsheets/d/11923uPwbBZFjjGgGUA6NLw09EwE0CqkOc4q9oUmW1yo/edit?usp=sharing"",""น่าน!I68"")"),90)</f>
        <v>90</v>
      </c>
      <c r="J138" s="276">
        <f ca="1">IFERROR(__xludf.DUMMYFUNCTION("IMPORTRANGE(""https://docs.google.com/spreadsheets/d/11923uPwbBZFjjGgGUA6NLw09EwE0CqkOc4q9oUmW1yo/edit?usp=sharing"",""น่าน!J68"")"),90)</f>
        <v>90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815200</v>
      </c>
      <c r="M140" s="158">
        <f t="shared" ca="1" si="64"/>
        <v>404550</v>
      </c>
      <c r="N140" s="158">
        <f t="shared" ca="1" si="64"/>
        <v>310751</v>
      </c>
      <c r="O140" s="157">
        <f t="shared" ref="O140:O142" ca="1" si="65">IF(L140&gt;0,N140*100/L140,0)</f>
        <v>38.119602551521098</v>
      </c>
      <c r="P140" s="157">
        <f t="shared" ref="P140:P142" ca="1" si="66">IF(M140&gt;0,N140*100/M140,0)</f>
        <v>76.813990854035353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815200</v>
      </c>
      <c r="M142" s="163">
        <f t="shared" ca="1" si="68"/>
        <v>404550</v>
      </c>
      <c r="N142" s="163">
        <f t="shared" ca="1" si="68"/>
        <v>310751</v>
      </c>
      <c r="O142" s="162">
        <f t="shared" ca="1" si="65"/>
        <v>38.119602551521098</v>
      </c>
      <c r="P142" s="162">
        <f t="shared" ca="1" si="66"/>
        <v>76.813990854035353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815200</v>
      </c>
      <c r="M144" s="176">
        <f ca="1">IFERROR(__xludf.DUMMYFUNCTION("IMPORTRANGE(""https://docs.google.com/spreadsheets/d/1Yj_ptqi66GCucihVvJfMjLAmec39IyEx_6qawtMGysU/edit?usp=sharing"",""สบก!BJ25"")"),404550)</f>
        <v>404550</v>
      </c>
      <c r="N144" s="177">
        <f ca="1">IFERROR(__xludf.DUMMYFUNCTION("IMPORTRANGE(""https://docs.google.com/spreadsheets/d/1Yj_ptqi66GCucihVvJfMjLAmec39IyEx_6qawtMGysU/edit?usp=sharing"",""สบก!BK25"")"),310751)</f>
        <v>310751</v>
      </c>
      <c r="O144" s="178">
        <f ca="1">IF(L144&gt;0,N144*100/L144,0)</f>
        <v>38.119602551521098</v>
      </c>
      <c r="P144" s="178">
        <f ca="1">IF(M144&gt;0,N144*100/M144,0)</f>
        <v>76.813990854035353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IFERROR(__xludf.DUMMYFUNCTION("IMPORTRANGE(""https://docs.google.com/spreadsheets/d/1Yj_ptqi66GCucihVvJfMjLAmec39IyEx_6qawtMGysU/edit?usp=sharing"",""สบก!BF25"")"),315900)</f>
        <v>315900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IFERROR(__xludf.DUMMYFUNCTION("IMPORTRANGE(""https://docs.google.com/spreadsheets/d/1Yj_ptqi66GCucihVvJfMjLAmec39IyEx_6qawtMGysU/edit?usp=sharing"",""สบก!BG25"")"),499300)</f>
        <v>499300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IFERROR(__xludf.DUMMYFUNCTION("IMPORTRANGE(""https://docs.google.com/spreadsheets/d/1Yj_ptqi66GCucihVvJfMjLAmec39IyEx_6qawtMGysU/edit?usp=sharing"",""สบก!BH25"")"),0)</f>
        <v>0</v>
      </c>
      <c r="M148" s="103"/>
      <c r="N148" s="93">
        <f ca="1">IFERROR(__xludf.DUMMYFUNCTION("IMPORTRANGE(""https://docs.google.com/spreadsheets/d/1Yj_ptqi66GCucihVvJfMjLAmec39IyEx_6qawtMGysU/edit?usp=sharing"",""สบก!BL25"")"),0)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IFERROR(__xludf.DUMMYFUNCTION("IMPORTRANGE(""https://docs.google.com/spreadsheets/d/11923uPwbBZFjjGgGUA6NLw09EwE0CqkOc4q9oUmW1yo/edit?usp=sharing"",""น่าน!I74"")"),4)</f>
        <v>4</v>
      </c>
      <c r="J149" s="284">
        <f ca="1">IFERROR(__xludf.DUMMYFUNCTION("IMPORTRANGE(""https://docs.google.com/spreadsheets/d/11923uPwbBZFjjGgGUA6NLw09EwE0CqkOc4q9oUmW1yo/edit?usp=sharing"",""น่าน!J74"")"),1)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IFERROR(__xludf.DUMMYFUNCTION("IMPORTRANGE(""https://docs.google.com/spreadsheets/d/11923uPwbBZFjjGgGUA6NLw09EwE0CqkOc4q9oUmW1yo/edit?usp=sharing"",""น่าน!J79"")"),0)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IFERROR(__xludf.DUMMYFUNCTION("IMPORTRANGE(""https://docs.google.com/spreadsheets/d/11923uPwbBZFjjGgGUA6NLw09EwE0CqkOc4q9oUmW1yo/edit?usp=sharing"",""น่าน!J80"")"),1)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IFERROR(__xludf.DUMMYFUNCTION("IMPORTRANGE(""https://docs.google.com/spreadsheets/d/11923uPwbBZFjjGgGUA6NLw09EwE0CqkOc4q9oUmW1yo/edit?usp=sharing"",""น่าน!J81"")"),1)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IFERROR(__xludf.DUMMYFUNCTION("IMPORTRANGE(""https://docs.google.com/spreadsheets/d/11923uPwbBZFjjGgGUA6NLw09EwE0CqkOc4q9oUmW1yo/edit?usp=sharing"",""น่าน!J82"")"),1)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IFERROR(__xludf.DUMMYFUNCTION("IMPORTRANGE(""https://docs.google.com/spreadsheets/d/11923uPwbBZFjjGgGUA6NLw09EwE0CqkOc4q9oUmW1yo/edit?usp=sharing"",""น่าน!I83"")"),4)</f>
        <v>4</v>
      </c>
      <c r="J158" s="198">
        <f ca="1">IFERROR(__xludf.DUMMYFUNCTION("IMPORTRANGE(""https://docs.google.com/spreadsheets/d/11923uPwbBZFjjGgGUA6NLw09EwE0CqkOc4q9oUmW1yo/edit?usp=sharing"",""น่าน!J83"")"),1)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IFERROR(__xludf.DUMMYFUNCTION("IMPORTRANGE(""https://docs.google.com/spreadsheets/d/11923uPwbBZFjjGgGUA6NLw09EwE0CqkOc4q9oUmW1yo/edit?usp=sharing"",""น่าน!J84"")"),107)</f>
        <v>107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IFERROR(__xludf.DUMMYFUNCTION("IMPORTRANGE(""https://docs.google.com/spreadsheets/d/11923uPwbBZFjjGgGUA6NLw09EwE0CqkOc4q9oUmW1yo/edit?usp=sharing"",""น่าน!J85"")"),107)</f>
        <v>107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IFERROR(__xludf.DUMMYFUNCTION("IMPORTRANGE(""https://docs.google.com/spreadsheets/d/11923uPwbBZFjjGgGUA6NLw09EwE0CqkOc4q9oUmW1yo/edit?usp=sharing"",""น่าน!J86"")"),0)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IFERROR(__xludf.DUMMYFUNCTION("IMPORTRANGE(""https://docs.google.com/spreadsheets/d/11923uPwbBZFjjGgGUA6NLw09EwE0CqkOc4q9oUmW1yo/edit?usp=sharing"",""น่าน!J87"")"),0)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IFERROR(__xludf.DUMMYFUNCTION("IMPORTRANGE(""https://docs.google.com/spreadsheets/d/11923uPwbBZFjjGgGUA6NLw09EwE0CqkOc4q9oUmW1yo/edit?usp=sharing"",""น่าน!J88"")"),0)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IFERROR(__xludf.DUMMYFUNCTION("IMPORTRANGE(""https://docs.google.com/spreadsheets/d/11923uPwbBZFjjGgGUA6NLw09EwE0CqkOc4q9oUmW1yo/edit?usp=sharing"",""น่าน!I89"")"),4)</f>
        <v>4</v>
      </c>
      <c r="J164" s="292">
        <f ca="1">IFERROR(__xludf.DUMMYFUNCTION("IMPORTRANGE(""https://docs.google.com/spreadsheets/d/11923uPwbBZFjjGgGUA6NLw09EwE0CqkOc4q9oUmW1yo/edit?usp=sharing"",""น่าน!J89"")"),0)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IFERROR(__xludf.DUMMYFUNCTION("IMPORTRANGE(""https://docs.google.com/spreadsheets/d/11923uPwbBZFjjGgGUA6NLw09EwE0CqkOc4q9oUmW1yo/edit?usp=sharing"",""น่าน!J94"")"),0)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IFERROR(__xludf.DUMMYFUNCTION("IMPORTRANGE(""https://docs.google.com/spreadsheets/d/11923uPwbBZFjjGgGUA6NLw09EwE0CqkOc4q9oUmW1yo/edit?usp=sharing"",""น่าน!J95"")"),1)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IFERROR(__xludf.DUMMYFUNCTION("IMPORTRANGE(""https://docs.google.com/spreadsheets/d/11923uPwbBZFjjGgGUA6NLw09EwE0CqkOc4q9oUmW1yo/edit?usp=sharing"",""น่าน!J96"")"),1)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IFERROR(__xludf.DUMMYFUNCTION("IMPORTRANGE(""https://docs.google.com/spreadsheets/d/11923uPwbBZFjjGgGUA6NLw09EwE0CqkOc4q9oUmW1yo/edit?usp=sharing"",""น่าน!J97"")"),1)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IFERROR(__xludf.DUMMYFUNCTION("IMPORTRANGE(""https://docs.google.com/spreadsheets/d/11923uPwbBZFjjGgGUA6NLw09EwE0CqkOc4q9oUmW1yo/edit?usp=sharing"",""น่าน!I98"")"),4)</f>
        <v>4</v>
      </c>
      <c r="J173" s="198">
        <f ca="1">IFERROR(__xludf.DUMMYFUNCTION("IMPORTRANGE(""https://docs.google.com/spreadsheets/d/11923uPwbBZFjjGgGUA6NLw09EwE0CqkOc4q9oUmW1yo/edit?usp=sharing"",""น่าน!J98"")"),0)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IFERROR(__xludf.DUMMYFUNCTION("IMPORTRANGE(""https://docs.google.com/spreadsheets/d/11923uPwbBZFjjGgGUA6NLw09EwE0CqkOc4q9oUmW1yo/edit?usp=sharing"",""น่าน!J99"")"),0)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IFERROR(__xludf.DUMMYFUNCTION("IMPORTRANGE(""https://docs.google.com/spreadsheets/d/11923uPwbBZFjjGgGUA6NLw09EwE0CqkOc4q9oUmW1yo/edit?usp=sharing"",""น่าน!J100"")"),0)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IFERROR(__xludf.DUMMYFUNCTION("IMPORTRANGE(""https://docs.google.com/spreadsheets/d/11923uPwbBZFjjGgGUA6NLw09EwE0CqkOc4q9oUmW1yo/edit?usp=sharing"",""น่าน!I101"")"),0)</f>
        <v>0</v>
      </c>
      <c r="J176" s="292">
        <f ca="1">IFERROR(__xludf.DUMMYFUNCTION("IMPORTRANGE(""https://docs.google.com/spreadsheets/d/11923uPwbBZFjjGgGUA6NLw09EwE0CqkOc4q9oUmW1yo/edit?usp=sharing"",""น่าน!J101"")"),0)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IFERROR(__xludf.DUMMYFUNCTION("IMPORTRANGE(""https://docs.google.com/spreadsheets/d/11923uPwbBZFjjGgGUA6NLw09EwE0CqkOc4q9oUmW1yo/edit?usp=sharing"",""น่าน!J106"")"),0)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IFERROR(__xludf.DUMMYFUNCTION("IMPORTRANGE(""https://docs.google.com/spreadsheets/d/11923uPwbBZFjjGgGUA6NLw09EwE0CqkOc4q9oUmW1yo/edit?usp=sharing"",""น่าน!J107"")"),0)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IFERROR(__xludf.DUMMYFUNCTION("IMPORTRANGE(""https://docs.google.com/spreadsheets/d/11923uPwbBZFjjGgGUA6NLw09EwE0CqkOc4q9oUmW1yo/edit?usp=sharing"",""น่าน!J108"")"),0)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IFERROR(__xludf.DUMMYFUNCTION("IMPORTRANGE(""https://docs.google.com/spreadsheets/d/11923uPwbBZFjjGgGUA6NLw09EwE0CqkOc4q9oUmW1yo/edit?usp=sharing"",""น่าน!J109"")"),0)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IFERROR(__xludf.DUMMYFUNCTION("IMPORTRANGE(""https://docs.google.com/spreadsheets/d/11923uPwbBZFjjGgGUA6NLw09EwE0CqkOc4q9oUmW1yo/edit?usp=sharing"",""น่าน!I110"")"),0)</f>
        <v>0</v>
      </c>
      <c r="J185" s="213">
        <f ca="1">IFERROR(__xludf.DUMMYFUNCTION("IMPORTRANGE(""https://docs.google.com/spreadsheets/d/11923uPwbBZFjjGgGUA6NLw09EwE0CqkOc4q9oUmW1yo/edit?usp=sharing"",""น่าน!J110"")"),0)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IFERROR(__xludf.DUMMYFUNCTION("IMPORTRANGE(""https://docs.google.com/spreadsheets/d/11923uPwbBZFjjGgGUA6NLw09EwE0CqkOc4q9oUmW1yo/edit?usp=sharing"",""น่าน!I111"")"),0)</f>
        <v>0</v>
      </c>
      <c r="J186" s="213">
        <f ca="1">IFERROR(__xludf.DUMMYFUNCTION("IMPORTRANGE(""https://docs.google.com/spreadsheets/d/11923uPwbBZFjjGgGUA6NLw09EwE0CqkOc4q9oUmW1yo/edit?usp=sharing"",""น่าน!J111"")"),0)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IFERROR(__xludf.DUMMYFUNCTION("IMPORTRANGE(""https://docs.google.com/spreadsheets/d/11923uPwbBZFjjGgGUA6NLw09EwE0CqkOc4q9oUmW1yo/edit?usp=sharing"",""น่าน!J112"")"),0)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IFERROR(__xludf.DUMMYFUNCTION("IMPORTRANGE(""https://docs.google.com/spreadsheets/d/11923uPwbBZFjjGgGUA6NLw09EwE0CqkOc4q9oUmW1yo/edit?usp=sharing"",""น่าน!J113"")"),0)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IFERROR(__xludf.DUMMYFUNCTION("IMPORTRANGE(""https://docs.google.com/spreadsheets/d/11923uPwbBZFjjGgGUA6NLw09EwE0CqkOc4q9oUmW1yo/edit?usp=sharing"",""น่าน!I114"")"),50000)</f>
        <v>50000</v>
      </c>
      <c r="J189" s="292">
        <f ca="1">IFERROR(__xludf.DUMMYFUNCTION("IMPORTRANGE(""https://docs.google.com/spreadsheets/d/11923uPwbBZFjjGgGUA6NLw09EwE0CqkOc4q9oUmW1yo/edit?usp=sharing"",""น่าน!J114"")"),0)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IFERROR(__xludf.DUMMYFUNCTION("IMPORTRANGE(""https://docs.google.com/spreadsheets/d/11923uPwbBZFjjGgGUA6NLw09EwE0CqkOc4q9oUmW1yo/edit?usp=sharing"",""น่าน!J119"")"),1)</f>
        <v>1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IFERROR(__xludf.DUMMYFUNCTION("IMPORTRANGE(""https://docs.google.com/spreadsheets/d/11923uPwbBZFjjGgGUA6NLw09EwE0CqkOc4q9oUmW1yo/edit?usp=sharing"",""น่าน!J120"")"),0)</f>
        <v>0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IFERROR(__xludf.DUMMYFUNCTION("IMPORTRANGE(""https://docs.google.com/spreadsheets/d/11923uPwbBZFjjGgGUA6NLw09EwE0CqkOc4q9oUmW1yo/edit?usp=sharing"",""น่าน!J121"")"),0)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IFERROR(__xludf.DUMMYFUNCTION("IMPORTRANGE(""https://docs.google.com/spreadsheets/d/11923uPwbBZFjjGgGUA6NLw09EwE0CqkOc4q9oUmW1yo/edit?usp=sharing"",""น่าน!J122"")"),0)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IFERROR(__xludf.DUMMYFUNCTION("IMPORTRANGE(""https://docs.google.com/spreadsheets/d/11923uPwbBZFjjGgGUA6NLw09EwE0CqkOc4q9oUmW1yo/edit?usp=sharing"",""น่าน!I124"")"),50000)</f>
        <v>50000</v>
      </c>
      <c r="J199" s="198">
        <f ca="1">IFERROR(__xludf.DUMMYFUNCTION("IMPORTRANGE(""https://docs.google.com/spreadsheets/d/11923uPwbBZFjjGgGUA6NLw09EwE0CqkOc4q9oUmW1yo/edit?usp=sharing"",""น่าน!J124"")"),0)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IFERROR(__xludf.DUMMYFUNCTION("IMPORTRANGE(""https://docs.google.com/spreadsheets/d/11923uPwbBZFjjGgGUA6NLw09EwE0CqkOc4q9oUmW1yo/edit?usp=sharing"",""น่าน!I125"")"),50000)</f>
        <v>50000</v>
      </c>
      <c r="J200" s="198">
        <f ca="1">IFERROR(__xludf.DUMMYFUNCTION("IMPORTRANGE(""https://docs.google.com/spreadsheets/d/11923uPwbBZFjjGgGUA6NLw09EwE0CqkOc4q9oUmW1yo/edit?usp=sharing"",""น่าน!J125"")"),0)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IFERROR(__xludf.DUMMYFUNCTION("IMPORTRANGE(""https://docs.google.com/spreadsheets/d/11923uPwbBZFjjGgGUA6NLw09EwE0CqkOc4q9oUmW1yo/edit?usp=sharing"",""น่าน!I126"")"),0)</f>
        <v>0</v>
      </c>
      <c r="J201" s="198">
        <f ca="1">IFERROR(__xludf.DUMMYFUNCTION("IMPORTRANGE(""https://docs.google.com/spreadsheets/d/11923uPwbBZFjjGgGUA6NLw09EwE0CqkOc4q9oUmW1yo/edit?usp=sharing"",""น่าน!J126"")"),0)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IFERROR(__xludf.DUMMYFUNCTION("IMPORTRANGE(""https://docs.google.com/spreadsheets/d/11923uPwbBZFjjGgGUA6NLw09EwE0CqkOc4q9oUmW1yo/edit?usp=sharing"",""น่าน!J127"")"),0)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IFERROR(__xludf.DUMMYFUNCTION("IMPORTRANGE(""https://docs.google.com/spreadsheets/d/11923uPwbBZFjjGgGUA6NLw09EwE0CqkOc4q9oUmW1yo/edit?usp=sharing"",""น่าน!J128"")"),0)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IFERROR(__xludf.DUMMYFUNCTION("IMPORTRANGE(""https://docs.google.com/spreadsheets/d/11923uPwbBZFjjGgGUA6NLw09EwE0CqkOc4q9oUmW1yo/edit?usp=sharing"",""น่าน!I129"")"),90)</f>
        <v>90</v>
      </c>
      <c r="J204" s="292">
        <f ca="1">IFERROR(__xludf.DUMMYFUNCTION("IMPORTRANGE(""https://docs.google.com/spreadsheets/d/11923uPwbBZFjjGgGUA6NLw09EwE0CqkOc4q9oUmW1yo/edit?usp=sharing"",""น่าน!J129"")"),90)</f>
        <v>90</v>
      </c>
      <c r="K204" s="293">
        <f ca="1">IF(I204&gt;0,J204*100/I204,0)</f>
        <v>100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IFERROR(__xludf.DUMMYFUNCTION("IMPORTRANGE(""https://docs.google.com/spreadsheets/d/11923uPwbBZFjjGgGUA6NLw09EwE0CqkOc4q9oUmW1yo/edit?usp=sharing"",""น่าน!J134"")"),0)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IFERROR(__xludf.DUMMYFUNCTION("IMPORTRANGE(""https://docs.google.com/spreadsheets/d/11923uPwbBZFjjGgGUA6NLw09EwE0CqkOc4q9oUmW1yo/edit?usp=sharing"",""น่าน!J135"")"),1)</f>
        <v>1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IFERROR(__xludf.DUMMYFUNCTION("IMPORTRANGE(""https://docs.google.com/spreadsheets/d/11923uPwbBZFjjGgGUA6NLw09EwE0CqkOc4q9oUmW1yo/edit?usp=sharing"",""น่าน!J136"")"),1)</f>
        <v>1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IFERROR(__xludf.DUMMYFUNCTION("IMPORTRANGE(""https://docs.google.com/spreadsheets/d/11923uPwbBZFjjGgGUA6NLw09EwE0CqkOc4q9oUmW1yo/edit?usp=sharing"",""น่าน!J137"")"),1)</f>
        <v>1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IFERROR(__xludf.DUMMYFUNCTION("IMPORTRANGE(""https://docs.google.com/spreadsheets/d/11923uPwbBZFjjGgGUA6NLw09EwE0CqkOc4q9oUmW1yo/edit?usp=sharing"",""น่าน!I138"")"),90)</f>
        <v>90</v>
      </c>
      <c r="J213" s="213">
        <f ca="1">IFERROR(__xludf.DUMMYFUNCTION("IMPORTRANGE(""https://docs.google.com/spreadsheets/d/11923uPwbBZFjjGgGUA6NLw09EwE0CqkOc4q9oUmW1yo/edit?usp=sharing"",""น่าน!J138"")"),90)</f>
        <v>90</v>
      </c>
      <c r="K213" s="233">
        <f ca="1">IF(I213&gt;0,J213*100/I213,0)</f>
        <v>100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IFERROR(__xludf.DUMMYFUNCTION("IMPORTRANGE(""https://docs.google.com/spreadsheets/d/11923uPwbBZFjjGgGUA6NLw09EwE0CqkOc4q9oUmW1yo/edit?usp=sharing"",""น่าน!I140"")"),90)</f>
        <v>90</v>
      </c>
      <c r="J215" s="213">
        <f ca="1">IFERROR(__xludf.DUMMYFUNCTION("IMPORTRANGE(""https://docs.google.com/spreadsheets/d/11923uPwbBZFjjGgGUA6NLw09EwE0CqkOc4q9oUmW1yo/edit?usp=sharing"",""น่าน!J140"")"),0)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IFERROR(__xludf.DUMMYFUNCTION("IMPORTRANGE(""https://docs.google.com/spreadsheets/d/11923uPwbBZFjjGgGUA6NLw09EwE0CqkOc4q9oUmW1yo/edit?usp=sharing"",""น่าน!I141"")"),4)</f>
        <v>4</v>
      </c>
      <c r="J216" s="213">
        <f ca="1">IFERROR(__xludf.DUMMYFUNCTION("IMPORTRANGE(""https://docs.google.com/spreadsheets/d/11923uPwbBZFjjGgGUA6NLw09EwE0CqkOc4q9oUmW1yo/edit?usp=sharing"",""น่าน!J141"")"),0)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IFERROR(__xludf.DUMMYFUNCTION("IMPORTRANGE(""https://docs.google.com/spreadsheets/d/11923uPwbBZFjjGgGUA6NLw09EwE0CqkOc4q9oUmW1yo/edit?usp=sharing"",""น่าน!J142"")"),0)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IFERROR(__xludf.DUMMYFUNCTION("IMPORTRANGE(""https://docs.google.com/spreadsheets/d/11923uPwbBZFjjGgGUA6NLw09EwE0CqkOc4q9oUmW1yo/edit?usp=sharing"",""น่าน!J143"")"),0)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IFERROR(__xludf.DUMMYFUNCTION("IMPORTRANGE(""https://docs.google.com/spreadsheets/d/11923uPwbBZFjjGgGUA6NLw09EwE0CqkOc4q9oUmW1yo/edit?usp=sharing"",""น่าน!I144"")"),15)</f>
        <v>15</v>
      </c>
      <c r="J219" s="276">
        <f ca="1">IFERROR(__xludf.DUMMYFUNCTION("IMPORTRANGE(""https://docs.google.com/spreadsheets/d/11923uPwbBZFjjGgGUA6NLw09EwE0CqkOc4q9oUmW1yo/edit?usp=sharing"",""น่าน!J144"")"),15)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19076</v>
      </c>
      <c r="O220" s="157">
        <f t="shared" ref="O220:O222" ca="1" si="73">IF(L220&gt;0,N220*100/L220,0)</f>
        <v>90.300591715976324</v>
      </c>
      <c r="P220" s="157">
        <f t="shared" ref="P220:P222" ca="1" si="74">IF(M220&gt;0,N220*100/M220,0)</f>
        <v>90.300591715976324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19076</v>
      </c>
      <c r="O222" s="162">
        <f t="shared" ca="1" si="73"/>
        <v>90.300591715976324</v>
      </c>
      <c r="P222" s="162">
        <f t="shared" ca="1" si="74"/>
        <v>90.300591715976324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IFERROR(__xludf.DUMMYFUNCTION("IMPORTRANGE(""https://docs.google.com/spreadsheets/d/1Yj_ptqi66GCucihVvJfMjLAmec39IyEx_6qawtMGysU/edit?usp=sharing"",""สบก!BS25"")"),21125)</f>
        <v>21125</v>
      </c>
      <c r="N224" s="177">
        <f ca="1">IFERROR(__xludf.DUMMYFUNCTION("IMPORTRANGE(""https://docs.google.com/spreadsheets/d/1Yj_ptqi66GCucihVvJfMjLAmec39IyEx_6qawtMGysU/edit?usp=sharing"",""สบก!BT25"")"),19076)</f>
        <v>19076</v>
      </c>
      <c r="O224" s="178">
        <f ca="1">IF(L224&gt;0,N224*100/L224,0)</f>
        <v>90.300591715976324</v>
      </c>
      <c r="P224" s="178">
        <f ca="1">IF(M224&gt;0,N224*100/M224,0)</f>
        <v>90.300591715976324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IFERROR(__xludf.DUMMYFUNCTION("IMPORTRANGE(""https://docs.google.com/spreadsheets/d/1Yj_ptqi66GCucihVvJfMjLAmec39IyEx_6qawtMGysU/edit?usp=sharing"",""สบก!BO25"")"),0)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IFERROR(__xludf.DUMMYFUNCTION("IMPORTRANGE(""https://docs.google.com/spreadsheets/d/1Yj_ptqi66GCucihVvJfMjLAmec39IyEx_6qawtMGysU/edit?usp=sharing"",""สบก!BP25"")"),21125)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IFERROR(__xludf.DUMMYFUNCTION("IMPORTRANGE(""https://docs.google.com/spreadsheets/d/1Yj_ptqi66GCucihVvJfMjLAmec39IyEx_6qawtMGysU/edit?usp=sharing"",""สบก!BQ25"")"),0)</f>
        <v>0</v>
      </c>
      <c r="M228" s="103"/>
      <c r="N228" s="93">
        <f ca="1">IFERROR(__xludf.DUMMYFUNCTION("IMPORTRANGE(""https://docs.google.com/spreadsheets/d/1Yj_ptqi66GCucihVvJfMjLAmec39IyEx_6qawtMGysU/edit?usp=sharing"",""สบก!BU25"")"),0)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IFERROR(__xludf.DUMMYFUNCTION("IMPORTRANGE(""https://docs.google.com/spreadsheets/d/11923uPwbBZFjjGgGUA6NLw09EwE0CqkOc4q9oUmW1yo/edit?usp=sharing"",""น่าน!I149"")"),15)</f>
        <v>15</v>
      </c>
      <c r="J229" s="276">
        <f ca="1">IFERROR(__xludf.DUMMYFUNCTION("IMPORTRANGE(""https://docs.google.com/spreadsheets/d/11923uPwbBZFjjGgGUA6NLw09EwE0CqkOc4q9oUmW1yo/edit?usp=sharing"",""น่าน!J149"")"),15)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IFERROR(__xludf.DUMMYFUNCTION("IMPORTRANGE(""https://docs.google.com/spreadsheets/d/11923uPwbBZFjjGgGUA6NLw09EwE0CqkOc4q9oUmW1yo/edit?usp=sharing"",""น่าน!J151"")"),0)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IFERROR(__xludf.DUMMYFUNCTION("IMPORTRANGE(""https://docs.google.com/spreadsheets/d/11923uPwbBZFjjGgGUA6NLw09EwE0CqkOc4q9oUmW1yo/edit?usp=sharing"",""น่าน!J152"")"),1)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IFERROR(__xludf.DUMMYFUNCTION("IMPORTRANGE(""https://docs.google.com/spreadsheets/d/11923uPwbBZFjjGgGUA6NLw09EwE0CqkOc4q9oUmW1yo/edit?usp=sharing"",""น่าน!J153"")"),1)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IFERROR(__xludf.DUMMYFUNCTION("IMPORTRANGE(""https://docs.google.com/spreadsheets/d/11923uPwbBZFjjGgGUA6NLw09EwE0CqkOc4q9oUmW1yo/edit?usp=sharing"",""น่าน!J154"")"),1)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IFERROR(__xludf.DUMMYFUNCTION("IMPORTRANGE(""https://docs.google.com/spreadsheets/d/11923uPwbBZFjjGgGUA6NLw09EwE0CqkOc4q9oUmW1yo/edit?usp=sharing"",""น่าน!I155"")"),15)</f>
        <v>15</v>
      </c>
      <c r="J235" s="198">
        <f ca="1">IFERROR(__xludf.DUMMYFUNCTION("IMPORTRANGE(""https://docs.google.com/spreadsheets/d/11923uPwbBZFjjGgGUA6NLw09EwE0CqkOc4q9oUmW1yo/edit?usp=sharing"",""น่าน!J155"")"),15)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IFERROR(__xludf.DUMMYFUNCTION("IMPORTRANGE(""https://docs.google.com/spreadsheets/d/11923uPwbBZFjjGgGUA6NLw09EwE0CqkOc4q9oUmW1yo/edit?usp=sharing"",""น่าน!J156"")"),1)</f>
        <v>1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IFERROR(__xludf.DUMMYFUNCTION("IMPORTRANGE(""https://docs.google.com/spreadsheets/d/11923uPwbBZFjjGgGUA6NLw09EwE0CqkOc4q9oUmW1yo/edit?usp=sharing"",""น่าน!J157"")"),0)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IFERROR(__xludf.DUMMYFUNCTION("IMPORTRANGE(""https://docs.google.com/spreadsheets/d/11923uPwbBZFjjGgGUA6NLw09EwE0CqkOc4q9oUmW1yo/edit?usp=sharing"",""น่าน!I158"")"),0)</f>
        <v>0</v>
      </c>
      <c r="J238" s="276">
        <f ca="1">IFERROR(__xludf.DUMMYFUNCTION("IMPORTRANGE(""https://docs.google.com/spreadsheets/d/11923uPwbBZFjjGgGUA6NLw09EwE0CqkOc4q9oUmW1yo/edit?usp=sharing"",""น่าน!J158"")"),0)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IFERROR(__xludf.DUMMYFUNCTION("IMPORTRANGE(""https://docs.google.com/spreadsheets/d/11923uPwbBZFjjGgGUA6NLw09EwE0CqkOc4q9oUmW1yo/edit?usp=sharing"",""น่าน!J159"")"),"")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IFERROR(__xludf.DUMMYFUNCTION("IMPORTRANGE(""https://docs.google.com/spreadsheets/d/11923uPwbBZFjjGgGUA6NLw09EwE0CqkOc4q9oUmW1yo/edit?usp=sharing"",""น่าน!J161"")"),0)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IFERROR(__xludf.DUMMYFUNCTION("IMPORTRANGE(""https://docs.google.com/spreadsheets/d/11923uPwbBZFjjGgGUA6NLw09EwE0CqkOc4q9oUmW1yo/edit?usp=sharing"",""น่าน!J162"")"),0)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IFERROR(__xludf.DUMMYFUNCTION("IMPORTRANGE(""https://docs.google.com/spreadsheets/d/11923uPwbBZFjjGgGUA6NLw09EwE0CqkOc4q9oUmW1yo/edit?usp=sharing"",""น่าน!J163"")"),0)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IFERROR(__xludf.DUMMYFUNCTION("IMPORTRANGE(""https://docs.google.com/spreadsheets/d/11923uPwbBZFjjGgGUA6NLw09EwE0CqkOc4q9oUmW1yo/edit?usp=sharing"",""น่าน!I164"")"),0)</f>
        <v>0</v>
      </c>
      <c r="J244" s="197">
        <f ca="1">IFERROR(__xludf.DUMMYFUNCTION("IMPORTRANGE(""https://docs.google.com/spreadsheets/d/11923uPwbBZFjjGgGUA6NLw09EwE0CqkOc4q9oUmW1yo/edit?usp=sharing"",""น่าน!J164"")"),0)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IFERROR(__xludf.DUMMYFUNCTION("IMPORTRANGE(""https://docs.google.com/spreadsheets/d/11923uPwbBZFjjGgGUA6NLw09EwE0CqkOc4q9oUmW1yo/edit?usp=sharing"",""น่าน!J165"")"),0)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IFERROR(__xludf.DUMMYFUNCTION("IMPORTRANGE(""https://docs.google.com/spreadsheets/d/11923uPwbBZFjjGgGUA6NLw09EwE0CqkOc4q9oUmW1yo/edit?usp=sharing"",""น่าน!J166"")"),0)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IFERROR(__xludf.DUMMYFUNCTION("IMPORTRANGE(""https://docs.google.com/spreadsheets/d/11923uPwbBZFjjGgGUA6NLw09EwE0CqkOc4q9oUmW1yo/edit?usp=sharing"",""น่าน!I169"")"),0)</f>
        <v>0</v>
      </c>
      <c r="J249" s="324">
        <f ca="1">IFERROR(__xludf.DUMMYFUNCTION("IMPORTRANGE(""https://docs.google.com/spreadsheets/d/11923uPwbBZFjjGgGUA6NLw09EwE0CqkOc4q9oUmW1yo/edit?usp=sharing"",""น่าน!J169"")"),0)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IFERROR(__xludf.DUMMYFUNCTION("IMPORTRANGE(""https://docs.google.com/spreadsheets/d/1Yj_ptqi66GCucihVvJfMjLAmec39IyEx_6qawtMGysU/edit?usp=sharing"",""สบก!CB25"")"),0)</f>
        <v>0</v>
      </c>
      <c r="N254" s="177">
        <f ca="1">IFERROR(__xludf.DUMMYFUNCTION("IMPORTRANGE(""https://docs.google.com/spreadsheets/d/1Yj_ptqi66GCucihVvJfMjLAmec39IyEx_6qawtMGysU/edit?usp=sharing"",""สบก!CC25"")"),0)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IFERROR(__xludf.DUMMYFUNCTION("IMPORTRANGE(""https://docs.google.com/spreadsheets/d/1Yj_ptqi66GCucihVvJfMjLAmec39IyEx_6qawtMGysU/edit?usp=sharing"",""สบก!BX25"")"),0)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IFERROR(__xludf.DUMMYFUNCTION("IMPORTRANGE(""https://docs.google.com/spreadsheets/d/1Yj_ptqi66GCucihVvJfMjLAmec39IyEx_6qawtMGysU/edit?usp=sharing"",""สบก!BY25"")"),0)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IFERROR(__xludf.DUMMYFUNCTION("IMPORTRANGE(""https://docs.google.com/spreadsheets/d/1Yj_ptqi66GCucihVvJfMjLAmec39IyEx_6qawtMGysU/edit?usp=sharing"",""สบก!BZ25"")"),0)</f>
        <v>0</v>
      </c>
      <c r="M258" s="103"/>
      <c r="N258" s="93">
        <f ca="1">IFERROR(__xludf.DUMMYFUNCTION("IMPORTRANGE(""https://docs.google.com/spreadsheets/d/1Yj_ptqi66GCucihVvJfMjLAmec39IyEx_6qawtMGysU/edit?usp=sharing"",""สบก!CD25"")"),0)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IFERROR(__xludf.DUMMYFUNCTION("IMPORTRANGE(""https://docs.google.com/spreadsheets/d/11923uPwbBZFjjGgGUA6NLw09EwE0CqkOc4q9oUmW1yo/edit?usp=sharing"",""น่าน!J175"")"),0)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IFERROR(__xludf.DUMMYFUNCTION("IMPORTRANGE(""https://docs.google.com/spreadsheets/d/11923uPwbBZFjjGgGUA6NLw09EwE0CqkOc4q9oUmW1yo/edit?usp=sharing"",""น่าน!J176"")"),0)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IFERROR(__xludf.DUMMYFUNCTION("IMPORTRANGE(""https://docs.google.com/spreadsheets/d/11923uPwbBZFjjGgGUA6NLw09EwE0CqkOc4q9oUmW1yo/edit?usp=sharing"",""น่าน!J177"")"),0)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IFERROR(__xludf.DUMMYFUNCTION("IMPORTRANGE(""https://docs.google.com/spreadsheets/d/11923uPwbBZFjjGgGUA6NLw09EwE0CqkOc4q9oUmW1yo/edit?usp=sharing"",""น่าน!J178"")"),0)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IFERROR(__xludf.DUMMYFUNCTION("IMPORTRANGE(""https://docs.google.com/spreadsheets/d/11923uPwbBZFjjGgGUA6NLw09EwE0CqkOc4q9oUmW1yo/edit?usp=sharing"",""น่าน!I179"")"),0)</f>
        <v>0</v>
      </c>
      <c r="J264" s="198">
        <f ca="1">IFERROR(__xludf.DUMMYFUNCTION("IMPORTRANGE(""https://docs.google.com/spreadsheets/d/11923uPwbBZFjjGgGUA6NLw09EwE0CqkOc4q9oUmW1yo/edit?usp=sharing"",""น่าน!J179"")"),0)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IFERROR(__xludf.DUMMYFUNCTION("IMPORTRANGE(""https://docs.google.com/spreadsheets/d/11923uPwbBZFjjGgGUA6NLw09EwE0CqkOc4q9oUmW1yo/edit?usp=sharing"",""น่าน!I180"")"),0)</f>
        <v>0</v>
      </c>
      <c r="J265" s="198">
        <f ca="1">IFERROR(__xludf.DUMMYFUNCTION("IMPORTRANGE(""https://docs.google.com/spreadsheets/d/11923uPwbBZFjjGgGUA6NLw09EwE0CqkOc4q9oUmW1yo/edit?usp=sharing"",""น่าน!J180"")"),0)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IFERROR(__xludf.DUMMYFUNCTION("IMPORTRANGE(""https://docs.google.com/spreadsheets/d/11923uPwbBZFjjGgGUA6NLw09EwE0CqkOc4q9oUmW1yo/edit?usp=sharing"",""น่าน!I181"")"),0)</f>
        <v>0</v>
      </c>
      <c r="J266" s="198">
        <f ca="1">IFERROR(__xludf.DUMMYFUNCTION("IMPORTRANGE(""https://docs.google.com/spreadsheets/d/11923uPwbBZFjjGgGUA6NLw09EwE0CqkOc4q9oUmW1yo/edit?usp=sharing"",""น่าน!J181"")"),0)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IFERROR(__xludf.DUMMYFUNCTION("IMPORTRANGE(""https://docs.google.com/spreadsheets/d/11923uPwbBZFjjGgGUA6NLw09EwE0CqkOc4q9oUmW1yo/edit?usp=sharing"",""น่าน!I182"")"),0)</f>
        <v>0</v>
      </c>
      <c r="J267" s="198">
        <f ca="1">IFERROR(__xludf.DUMMYFUNCTION("IMPORTRANGE(""https://docs.google.com/spreadsheets/d/11923uPwbBZFjjGgGUA6NLw09EwE0CqkOc4q9oUmW1yo/edit?usp=sharing"",""น่าน!J182"")"),0)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IFERROR(__xludf.DUMMYFUNCTION("IMPORTRANGE(""https://docs.google.com/spreadsheets/d/11923uPwbBZFjjGgGUA6NLw09EwE0CqkOc4q9oUmW1yo/edit?usp=sharing"",""น่าน!J183"")"),0)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IFERROR(__xludf.DUMMYFUNCTION("IMPORTRANGE(""https://docs.google.com/spreadsheets/d/11923uPwbBZFjjGgGUA6NLw09EwE0CqkOc4q9oUmW1yo/edit?usp=sharing"",""น่าน!J184"")"),0)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IFERROR(__xludf.DUMMYFUNCTION("IMPORTRANGE(""https://docs.google.com/spreadsheets/d/11923uPwbBZFjjGgGUA6NLw09EwE0CqkOc4q9oUmW1yo/edit?usp=sharing"",""น่าน!I185"")"),15)</f>
        <v>15</v>
      </c>
      <c r="J270" s="324">
        <f ca="1">IFERROR(__xludf.DUMMYFUNCTION("IMPORTRANGE(""https://docs.google.com/spreadsheets/d/11923uPwbBZFjjGgGUA6NLw09EwE0CqkOc4q9oUmW1yo/edit?usp=sharing"",""น่าน!J185"")"),15)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55200</v>
      </c>
      <c r="M271" s="158">
        <f t="shared" ca="1" si="83"/>
        <v>32250</v>
      </c>
      <c r="N271" s="158">
        <f t="shared" ca="1" si="83"/>
        <v>24830</v>
      </c>
      <c r="O271" s="157">
        <f t="shared" ref="O271:O273" ca="1" si="84">IF(L271&gt;0,N271*100/L271,0)</f>
        <v>44.981884057971016</v>
      </c>
      <c r="P271" s="157">
        <f t="shared" ref="P271:P273" ca="1" si="85">IF(M271&gt;0,N271*100/M271,0)</f>
        <v>76.992248062015506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55200</v>
      </c>
      <c r="M273" s="163">
        <f t="shared" ca="1" si="87"/>
        <v>32250</v>
      </c>
      <c r="N273" s="163">
        <f t="shared" ca="1" si="87"/>
        <v>24830</v>
      </c>
      <c r="O273" s="162">
        <f t="shared" ca="1" si="84"/>
        <v>44.981884057971016</v>
      </c>
      <c r="P273" s="162">
        <f t="shared" ca="1" si="85"/>
        <v>76.992248062015506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55200</v>
      </c>
      <c r="M275" s="176">
        <f ca="1">IFERROR(__xludf.DUMMYFUNCTION("IMPORTRANGE(""https://docs.google.com/spreadsheets/d/1Yj_ptqi66GCucihVvJfMjLAmec39IyEx_6qawtMGysU/edit?usp=sharing"",""สบก!CK25"")"),32250)</f>
        <v>32250</v>
      </c>
      <c r="N275" s="177">
        <f ca="1">IFERROR(__xludf.DUMMYFUNCTION("IMPORTRANGE(""https://docs.google.com/spreadsheets/d/1Yj_ptqi66GCucihVvJfMjLAmec39IyEx_6qawtMGysU/edit?usp=sharing"",""สบก!CL25"")"),24830)</f>
        <v>24830</v>
      </c>
      <c r="O275" s="178">
        <f ca="1">IF(L275&gt;0,N275*100/L275,0)</f>
        <v>44.981884057971016</v>
      </c>
      <c r="P275" s="178">
        <f ca="1">IF(M275&gt;0,N275*100/M275,0)</f>
        <v>76.992248062015506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IFERROR(__xludf.DUMMYFUNCTION("IMPORTRANGE(""https://docs.google.com/spreadsheets/d/1Yj_ptqi66GCucihVvJfMjLAmec39IyEx_6qawtMGysU/edit?usp=sharing"",""สบก!CG25"")"),0)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IFERROR(__xludf.DUMMYFUNCTION("IMPORTRANGE(""https://docs.google.com/spreadsheets/d/1Yj_ptqi66GCucihVvJfMjLAmec39IyEx_6qawtMGysU/edit?usp=sharing"",""สบก!CH25"")"),55200)</f>
        <v>55200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IFERROR(__xludf.DUMMYFUNCTION("IMPORTRANGE(""https://docs.google.com/spreadsheets/d/1Yj_ptqi66GCucihVvJfMjLAmec39IyEx_6qawtMGysU/edit?usp=sharing"",""สบก!CI25"")"),0)</f>
        <v>0</v>
      </c>
      <c r="M279" s="103"/>
      <c r="N279" s="93">
        <f ca="1">IFERROR(__xludf.DUMMYFUNCTION("IMPORTRANGE(""https://docs.google.com/spreadsheets/d/1Yj_ptqi66GCucihVvJfMjLAmec39IyEx_6qawtMGysU/edit?usp=sharing"",""สบก!CM25"")"),0)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IFERROR(__xludf.DUMMYFUNCTION("IMPORTRANGE(""https://docs.google.com/spreadsheets/d/11923uPwbBZFjjGgGUA6NLw09EwE0CqkOc4q9oUmW1yo/edit?usp=sharing"",""น่าน!J191"")"),0)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IFERROR(__xludf.DUMMYFUNCTION("IMPORTRANGE(""https://docs.google.com/spreadsheets/d/11923uPwbBZFjjGgGUA6NLw09EwE0CqkOc4q9oUmW1yo/edit?usp=sharing"",""น่าน!J192"")"),1)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IFERROR(__xludf.DUMMYFUNCTION("IMPORTRANGE(""https://docs.google.com/spreadsheets/d/11923uPwbBZFjjGgGUA6NLw09EwE0CqkOc4q9oUmW1yo/edit?usp=sharing"",""น่าน!J193"")"),1)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IFERROR(__xludf.DUMMYFUNCTION("IMPORTRANGE(""https://docs.google.com/spreadsheets/d/11923uPwbBZFjjGgGUA6NLw09EwE0CqkOc4q9oUmW1yo/edit?usp=sharing"",""น่าน!J194"")"),1)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IFERROR(__xludf.DUMMYFUNCTION("IMPORTRANGE(""https://docs.google.com/spreadsheets/d/11923uPwbBZFjjGgGUA6NLw09EwE0CqkOc4q9oUmW1yo/edit?usp=sharing"",""น่าน!I195"")"),15)</f>
        <v>15</v>
      </c>
      <c r="J285" s="198">
        <f ca="1">IFERROR(__xludf.DUMMYFUNCTION("IMPORTRANGE(""https://docs.google.com/spreadsheets/d/11923uPwbBZFjjGgGUA6NLw09EwE0CqkOc4q9oUmW1yo/edit?usp=sharing"",""น่าน!J195"")"),15)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IFERROR(__xludf.DUMMYFUNCTION("IMPORTRANGE(""https://docs.google.com/spreadsheets/d/11923uPwbBZFjjGgGUA6NLw09EwE0CqkOc4q9oUmW1yo/edit?usp=sharing"",""น่าน!J196"")"),0)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IFERROR(__xludf.DUMMYFUNCTION("IMPORTRANGE(""https://docs.google.com/spreadsheets/d/11923uPwbBZFjjGgGUA6NLw09EwE0CqkOc4q9oUmW1yo/edit?usp=sharing"",""น่าน!J197"")"),0)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IFERROR(__xludf.DUMMYFUNCTION("IMPORTRANGE(""https://docs.google.com/spreadsheets/d/11923uPwbBZFjjGgGUA6NLw09EwE0CqkOc4q9oUmW1yo/edit?usp=sharing"",""น่าน!I199"")"),0)</f>
        <v>0</v>
      </c>
      <c r="J289" s="324">
        <f ca="1">IFERROR(__xludf.DUMMYFUNCTION("IMPORTRANGE(""https://docs.google.com/spreadsheets/d/11923uPwbBZFjjGgGUA6NLw09EwE0CqkOc4q9oUmW1yo/edit?usp=sharing"",""น่าน!J199"")"),0)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IFERROR(__xludf.DUMMYFUNCTION("IMPORTRANGE(""https://docs.google.com/spreadsheets/d/1Yj_ptqi66GCucihVvJfMjLAmec39IyEx_6qawtMGysU/edit?usp=sharing"",""สบก!CT25"")"),0)</f>
        <v>0</v>
      </c>
      <c r="N294" s="177">
        <f ca="1">IFERROR(__xludf.DUMMYFUNCTION("IMPORTRANGE(""https://docs.google.com/spreadsheets/d/1Yj_ptqi66GCucihVvJfMjLAmec39IyEx_6qawtMGysU/edit?usp=sharing"",""สบก!CU25"")"),0)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IFERROR(__xludf.DUMMYFUNCTION("IMPORTRANGE(""https://docs.google.com/spreadsheets/d/1Yj_ptqi66GCucihVvJfMjLAmec39IyEx_6qawtMGysU/edit?usp=sharing"",""สบก!CP25"")"),0)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IFERROR(__xludf.DUMMYFUNCTION("IMPORTRANGE(""https://docs.google.com/spreadsheets/d/1Yj_ptqi66GCucihVvJfMjLAmec39IyEx_6qawtMGysU/edit?usp=sharing"",""สบก!CQ25"")"),0)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IFERROR(__xludf.DUMMYFUNCTION("IMPORTRANGE(""https://docs.google.com/spreadsheets/d/1Yj_ptqi66GCucihVvJfMjLAmec39IyEx_6qawtMGysU/edit?usp=sharing"",""สบก!CR25"")"),0)</f>
        <v>0</v>
      </c>
      <c r="M298" s="103"/>
      <c r="N298" s="93">
        <f ca="1">IFERROR(__xludf.DUMMYFUNCTION("IMPORTRANGE(""https://docs.google.com/spreadsheets/d/1Yj_ptqi66GCucihVvJfMjLAmec39IyEx_6qawtMGysU/edit?usp=sharing"",""สบก!CV25"")"),0)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IFERROR(__xludf.DUMMYFUNCTION("IMPORTRANGE(""https://docs.google.com/spreadsheets/d/11923uPwbBZFjjGgGUA6NLw09EwE0CqkOc4q9oUmW1yo/edit?usp=sharing"",""น่าน!J205"")"),0)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IFERROR(__xludf.DUMMYFUNCTION("IMPORTRANGE(""https://docs.google.com/spreadsheets/d/11923uPwbBZFjjGgGUA6NLw09EwE0CqkOc4q9oUmW1yo/edit?usp=sharing"",""น่าน!J206"")"),0)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IFERROR(__xludf.DUMMYFUNCTION("IMPORTRANGE(""https://docs.google.com/spreadsheets/d/11923uPwbBZFjjGgGUA6NLw09EwE0CqkOc4q9oUmW1yo/edit?usp=sharing"",""น่าน!J207"")"),0)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IFERROR(__xludf.DUMMYFUNCTION("IMPORTRANGE(""https://docs.google.com/spreadsheets/d/11923uPwbBZFjjGgGUA6NLw09EwE0CqkOc4q9oUmW1yo/edit?usp=sharing"",""น่าน!J208"")"),0)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IFERROR(__xludf.DUMMYFUNCTION("IMPORTRANGE(""https://docs.google.com/spreadsheets/d/11923uPwbBZFjjGgGUA6NLw09EwE0CqkOc4q9oUmW1yo/edit?usp=sharing"",""น่าน!I209"")"),0)</f>
        <v>0</v>
      </c>
      <c r="J304" s="213">
        <f ca="1">IFERROR(__xludf.DUMMYFUNCTION("IMPORTRANGE(""https://docs.google.com/spreadsheets/d/11923uPwbBZFjjGgGUA6NLw09EwE0CqkOc4q9oUmW1yo/edit?usp=sharing"",""น่าน!J209"")"),0)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IFERROR(__xludf.DUMMYFUNCTION("IMPORTRANGE(""https://docs.google.com/spreadsheets/d/11923uPwbBZFjjGgGUA6NLw09EwE0CqkOc4q9oUmW1yo/edit?usp=sharing"",""น่าน!I211"")"),0)</f>
        <v>0</v>
      </c>
      <c r="J306" s="213">
        <f ca="1">IFERROR(__xludf.DUMMYFUNCTION("IMPORTRANGE(""https://docs.google.com/spreadsheets/d/11923uPwbBZFjjGgGUA6NLw09EwE0CqkOc4q9oUmW1yo/edit?usp=sharing"",""น่าน!J211"")"),0)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IFERROR(__xludf.DUMMYFUNCTION("IMPORTRANGE(""https://docs.google.com/spreadsheets/d/11923uPwbBZFjjGgGUA6NLw09EwE0CqkOc4q9oUmW1yo/edit?usp=sharing"",""น่าน!J212"")"),0)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IFERROR(__xludf.DUMMYFUNCTION("IMPORTRANGE(""https://docs.google.com/spreadsheets/d/11923uPwbBZFjjGgGUA6NLw09EwE0CqkOc4q9oUmW1yo/edit?usp=sharing"",""น่าน!J213"")"),0)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IFERROR(__xludf.DUMMYFUNCTION("IMPORTRANGE(""https://docs.google.com/spreadsheets/d/11923uPwbBZFjjGgGUA6NLw09EwE0CqkOc4q9oUmW1yo/edit?usp=sharing"",""น่าน!I214"")"),0)</f>
        <v>0</v>
      </c>
      <c r="J309" s="341">
        <f ca="1">IFERROR(__xludf.DUMMYFUNCTION("IMPORTRANGE(""https://docs.google.com/spreadsheets/d/11923uPwbBZFjjGgGUA6NLw09EwE0CqkOc4q9oUmW1yo/edit?usp=sharing"",""น่าน!J214"")"),0)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IFERROR(__xludf.DUMMYFUNCTION("IMPORTRANGE(""https://docs.google.com/spreadsheets/d/1Yj_ptqi66GCucihVvJfMjLAmec39IyEx_6qawtMGysU/edit?usp=sharing"",""สบก!DC25"")"),0)</f>
        <v>0</v>
      </c>
      <c r="N314" s="177">
        <f ca="1">IFERROR(__xludf.DUMMYFUNCTION("IMPORTRANGE(""https://docs.google.com/spreadsheets/d/1Yj_ptqi66GCucihVvJfMjLAmec39IyEx_6qawtMGysU/edit?usp=sharing"",""สบก!DD25"")"),0)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IFERROR(__xludf.DUMMYFUNCTION("IMPORTRANGE(""https://docs.google.com/spreadsheets/d/1Yj_ptqi66GCucihVvJfMjLAmec39IyEx_6qawtMGysU/edit?usp=sharing"",""สบก!CY25"")"),0)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IFERROR(__xludf.DUMMYFUNCTION("IMPORTRANGE(""https://docs.google.com/spreadsheets/d/1Yj_ptqi66GCucihVvJfMjLAmec39IyEx_6qawtMGysU/edit?usp=sharing"",""สบก!CZ25"")"),0)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IFERROR(__xludf.DUMMYFUNCTION("IMPORTRANGE(""https://docs.google.com/spreadsheets/d/1Yj_ptqi66GCucihVvJfMjLAmec39IyEx_6qawtMGysU/edit?usp=sharing"",""สบก!DA25"")"),0)</f>
        <v>0</v>
      </c>
      <c r="M318" s="103"/>
      <c r="N318" s="93">
        <f ca="1">IFERROR(__xludf.DUMMYFUNCTION("IMPORTRANGE(""https://docs.google.com/spreadsheets/d/1Yj_ptqi66GCucihVvJfMjLAmec39IyEx_6qawtMGysU/edit?usp=sharing"",""สบก!DE25"")"),0)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IFERROR(__xludf.DUMMYFUNCTION("IMPORTRANGE(""https://docs.google.com/spreadsheets/d/11923uPwbBZFjjGgGUA6NLw09EwE0CqkOc4q9oUmW1yo/edit?usp=sharing"",""น่าน!J220"")"),0)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IFERROR(__xludf.DUMMYFUNCTION("IMPORTRANGE(""https://docs.google.com/spreadsheets/d/11923uPwbBZFjjGgGUA6NLw09EwE0CqkOc4q9oUmW1yo/edit?usp=sharing"",""น่าน!J221"")"),0)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IFERROR(__xludf.DUMMYFUNCTION("IMPORTRANGE(""https://docs.google.com/spreadsheets/d/11923uPwbBZFjjGgGUA6NLw09EwE0CqkOc4q9oUmW1yo/edit?usp=sharing"",""น่าน!J222"")"),0)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IFERROR(__xludf.DUMMYFUNCTION("IMPORTRANGE(""https://docs.google.com/spreadsheets/d/11923uPwbBZFjjGgGUA6NLw09EwE0CqkOc4q9oUmW1yo/edit?usp=sharing"",""น่าน!J223"")"),0)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IFERROR(__xludf.DUMMYFUNCTION("IMPORTRANGE(""https://docs.google.com/spreadsheets/d/11923uPwbBZFjjGgGUA6NLw09EwE0CqkOc4q9oUmW1yo/edit?usp=sharing"",""น่าน!I224"")"),0)</f>
        <v>0</v>
      </c>
      <c r="J324" s="213">
        <f ca="1">IFERROR(__xludf.DUMMYFUNCTION("IMPORTRANGE(""https://docs.google.com/spreadsheets/d/11923uPwbBZFjjGgGUA6NLw09EwE0CqkOc4q9oUmW1yo/edit?usp=sharing"",""น่าน!J224"")"),0)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IFERROR(__xludf.DUMMYFUNCTION("IMPORTRANGE(""https://docs.google.com/spreadsheets/d/11923uPwbBZFjjGgGUA6NLw09EwE0CqkOc4q9oUmW1yo/edit?usp=sharing"",""น่าน!J225"")"),0)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IFERROR(__xludf.DUMMYFUNCTION("IMPORTRANGE(""https://docs.google.com/spreadsheets/d/11923uPwbBZFjjGgGUA6NLw09EwE0CqkOc4q9oUmW1yo/edit?usp=sharing"",""น่าน!J226"")"),0)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IFERROR(__xludf.DUMMYFUNCTION("IMPORTRANGE(""https://docs.google.com/spreadsheets/d/11923uPwbBZFjjGgGUA6NLw09EwE0CqkOc4q9oUmW1yo/edit?usp=sharing"",""น่าน!I228"")"),480)</f>
        <v>480</v>
      </c>
      <c r="J328" s="347">
        <f ca="1">IFERROR(__xludf.DUMMYFUNCTION("IMPORTRANGE(""https://docs.google.com/spreadsheets/d/11923uPwbBZFjjGgGUA6NLw09EwE0CqkOc4q9oUmW1yo/edit?usp=sharing"",""น่าน!J228"")"),51)</f>
        <v>51</v>
      </c>
      <c r="K328" s="325">
        <f ca="1">IF(I328&gt;0,J328*100/I328,0)</f>
        <v>10.625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935350</v>
      </c>
      <c r="M329" s="158">
        <f t="shared" ca="1" si="98"/>
        <v>497780</v>
      </c>
      <c r="N329" s="158">
        <f t="shared" ca="1" si="98"/>
        <v>284823</v>
      </c>
      <c r="O329" s="157">
        <f t="shared" ref="O329:O331" ca="1" si="99">IF(L329&gt;0,N329*100/L329,0)</f>
        <v>30.450954188271769</v>
      </c>
      <c r="P329" s="157">
        <f t="shared" ref="P329:P331" ca="1" si="100">IF(M329&gt;0,N329*100/M329,0)</f>
        <v>57.2186508095946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935350</v>
      </c>
      <c r="M331" s="163">
        <f t="shared" ca="1" si="102"/>
        <v>497780</v>
      </c>
      <c r="N331" s="163">
        <f t="shared" ca="1" si="102"/>
        <v>284823</v>
      </c>
      <c r="O331" s="162">
        <f t="shared" ca="1" si="99"/>
        <v>30.450954188271769</v>
      </c>
      <c r="P331" s="162">
        <f t="shared" ca="1" si="100"/>
        <v>57.2186508095946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920350</v>
      </c>
      <c r="M333" s="176">
        <f ca="1">IFERROR(__xludf.DUMMYFUNCTION("IMPORTRANGE(""https://docs.google.com/spreadsheets/d/1Yj_ptqi66GCucihVvJfMjLAmec39IyEx_6qawtMGysU/edit?usp=sharing"",""สบก!DL25"")"),497780)</f>
        <v>497780</v>
      </c>
      <c r="N333" s="177">
        <f ca="1">IFERROR(__xludf.DUMMYFUNCTION("IMPORTRANGE(""https://docs.google.com/spreadsheets/d/1Yj_ptqi66GCucihVvJfMjLAmec39IyEx_6qawtMGysU/edit?usp=sharing"",""สบก!DM25"")"),269823)</f>
        <v>269823</v>
      </c>
      <c r="O333" s="178">
        <f ca="1">IF(L333&gt;0,N333*100/L333,0)</f>
        <v>29.317433585049166</v>
      </c>
      <c r="P333" s="178">
        <f ca="1">IF(M333&gt;0,N333*100/M333,0)</f>
        <v>54.205271405038367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IFERROR(__xludf.DUMMYFUNCTION("IMPORTRANGE(""https://docs.google.com/spreadsheets/d/1Yj_ptqi66GCucihVvJfMjLAmec39IyEx_6qawtMGysU/edit?usp=sharing"",""สบก!DH25"")"),417600)</f>
        <v>417600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IFERROR(__xludf.DUMMYFUNCTION("IMPORTRANGE(""https://docs.google.com/spreadsheets/d/1Yj_ptqi66GCucihVvJfMjLAmec39IyEx_6qawtMGysU/edit?usp=sharing"",""สบก!DI25"")"),502750)</f>
        <v>502750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IFERROR(__xludf.DUMMYFUNCTION("IMPORTRANGE(""https://docs.google.com/spreadsheets/d/1Yj_ptqi66GCucihVvJfMjLAmec39IyEx_6qawtMGysU/edit?usp=sharing"",""สบก!DJ25"")"),15000)</f>
        <v>15000</v>
      </c>
      <c r="M337" s="103"/>
      <c r="N337" s="93">
        <f ca="1">IFERROR(__xludf.DUMMYFUNCTION("IMPORTRANGE(""https://docs.google.com/spreadsheets/d/1Yj_ptqi66GCucihVvJfMjLAmec39IyEx_6qawtMGysU/edit?usp=sharing"",""สบก!DN25"")"),15000)</f>
        <v>15000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IFERROR(__xludf.DUMMYFUNCTION("IMPORTRANGE(""https://docs.google.com/spreadsheets/d/11923uPwbBZFjjGgGUA6NLw09EwE0CqkOc4q9oUmW1yo/edit?usp=sharing"",""น่าน!I234"")"),0)</f>
        <v>0</v>
      </c>
      <c r="J339" s="197">
        <f ca="1">IFERROR(__xludf.DUMMYFUNCTION("IMPORTRANGE(""https://docs.google.com/spreadsheets/d/11923uPwbBZFjjGgGUA6NLw09EwE0CqkOc4q9oUmW1yo/edit?usp=sharing"",""น่าน!J234"")"),138)</f>
        <v>138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IFERROR(__xludf.DUMMYFUNCTION("IMPORTRANGE(""https://docs.google.com/spreadsheets/d/11923uPwbBZFjjGgGUA6NLw09EwE0CqkOc4q9oUmW1yo/edit?usp=sharing"",""น่าน!I235"")"),2000)</f>
        <v>2000</v>
      </c>
      <c r="J340" s="197">
        <f ca="1">IFERROR(__xludf.DUMMYFUNCTION("IMPORTRANGE(""https://docs.google.com/spreadsheets/d/11923uPwbBZFjjGgGUA6NLw09EwE0CqkOc4q9oUmW1yo/edit?usp=sharing"",""น่าน!J235"")"),383.52)</f>
        <v>383.52</v>
      </c>
      <c r="K340" s="350">
        <f t="shared" ca="1" si="103"/>
        <v>19.175999999999998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IFERROR(__xludf.DUMMYFUNCTION("IMPORTRANGE(""https://docs.google.com/spreadsheets/d/11923uPwbBZFjjGgGUA6NLw09EwE0CqkOc4q9oUmW1yo/edit?usp=sharing"",""น่าน!I236"")"),480)</f>
        <v>480</v>
      </c>
      <c r="J341" s="197">
        <f ca="1">IFERROR(__xludf.DUMMYFUNCTION("IMPORTRANGE(""https://docs.google.com/spreadsheets/d/11923uPwbBZFjjGgGUA6NLw09EwE0CqkOc4q9oUmW1yo/edit?usp=sharing"",""น่าน!J236"")"),92)</f>
        <v>92</v>
      </c>
      <c r="K341" s="350">
        <f t="shared" ca="1" si="103"/>
        <v>19.166666666666668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IFERROR(__xludf.DUMMYFUNCTION("IMPORTRANGE(""https://docs.google.com/spreadsheets/d/11923uPwbBZFjjGgGUA6NLw09EwE0CqkOc4q9oUmW1yo/edit?usp=sharing"",""น่าน!I237"")"),0)</f>
        <v>0</v>
      </c>
      <c r="J342" s="197">
        <f ca="1">IFERROR(__xludf.DUMMYFUNCTION("IMPORTRANGE(""https://docs.google.com/spreadsheets/d/11923uPwbBZFjjGgGUA6NLw09EwE0CqkOc4q9oUmW1yo/edit?usp=sharing"",""น่าน!J237"")"),272.99)</f>
        <v>272.99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IFERROR(__xludf.DUMMYFUNCTION("IMPORTRANGE(""https://docs.google.com/spreadsheets/d/11923uPwbBZFjjGgGUA6NLw09EwE0CqkOc4q9oUmW1yo/edit?usp=sharing"",""น่าน!I238"")"),480)</f>
        <v>480</v>
      </c>
      <c r="J343" s="197">
        <f ca="1">IFERROR(__xludf.DUMMYFUNCTION("IMPORTRANGE(""https://docs.google.com/spreadsheets/d/11923uPwbBZFjjGgGUA6NLw09EwE0CqkOc4q9oUmW1yo/edit?usp=sharing"",""น่าน!J238"")"),1)</f>
        <v>1</v>
      </c>
      <c r="K343" s="350">
        <f t="shared" ca="1" si="103"/>
        <v>0.20833333333333334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IFERROR(__xludf.DUMMYFUNCTION("IMPORTRANGE(""https://docs.google.com/spreadsheets/d/11923uPwbBZFjjGgGUA6NLw09EwE0CqkOc4q9oUmW1yo/edit?usp=sharing"",""น่าน!I239"")"),0)</f>
        <v>0</v>
      </c>
      <c r="J344" s="197">
        <f ca="1">IFERROR(__xludf.DUMMYFUNCTION("IMPORTRANGE(""https://docs.google.com/spreadsheets/d/11923uPwbBZFjjGgGUA6NLw09EwE0CqkOc4q9oUmW1yo/edit?usp=sharing"",""น่าน!J239"")"),12.35)</f>
        <v>12.35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IFERROR(__xludf.DUMMYFUNCTION("IMPORTRANGE(""https://docs.google.com/spreadsheets/d/11923uPwbBZFjjGgGUA6NLw09EwE0CqkOc4q9oUmW1yo/edit?usp=sharing"",""น่าน!I240"")"),480)</f>
        <v>480</v>
      </c>
      <c r="J345" s="197">
        <f ca="1">IFERROR(__xludf.DUMMYFUNCTION("IMPORTRANGE(""https://docs.google.com/spreadsheets/d/11923uPwbBZFjjGgGUA6NLw09EwE0CqkOc4q9oUmW1yo/edit?usp=sharing"",""น่าน!J240"")"),51)</f>
        <v>51</v>
      </c>
      <c r="K345" s="350">
        <f t="shared" ca="1" si="103"/>
        <v>10.625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IFERROR(__xludf.DUMMYFUNCTION("IMPORTRANGE(""https://docs.google.com/spreadsheets/d/11923uPwbBZFjjGgGUA6NLw09EwE0CqkOc4q9oUmW1yo/edit?usp=sharing"",""น่าน!I241"")"),0)</f>
        <v>0</v>
      </c>
      <c r="J346" s="197">
        <f ca="1">IFERROR(__xludf.DUMMYFUNCTION("IMPORTRANGE(""https://docs.google.com/spreadsheets/d/11923uPwbBZFjjGgGUA6NLw09EwE0CqkOc4q9oUmW1yo/edit?usp=sharing"",""น่าน!J241"")"),131.99)</f>
        <v>131.99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IFERROR(__xludf.DUMMYFUNCTION("IMPORTRANGE(""https://docs.google.com/spreadsheets/d/11923uPwbBZFjjGgGUA6NLw09EwE0CqkOc4q9oUmW1yo/edit?usp=sharing"",""น่าน!L242"")"),2769994)</f>
        <v>2769994</v>
      </c>
      <c r="M347" s="366"/>
      <c r="N347" s="366">
        <f ca="1">IFERROR(__xludf.DUMMYFUNCTION("IMPORTRANGE(""https://docs.google.com/spreadsheets/d/11923uPwbBZFjjGgGUA6NLw09EwE0CqkOc4q9oUmW1yo/edit?usp=sharing"",""น่าน!M242"")"),302954)</f>
        <v>302954</v>
      </c>
      <c r="O347" s="366">
        <f ca="1">+IF(L347&gt;0,N347*100/L347,0)</f>
        <v>10.936991199258916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IFERROR(__xludf.DUMMYFUNCTION("IMPORTRANGE(""https://docs.google.com/spreadsheets/d/11923uPwbBZFjjGgGUA6NLw09EwE0CqkOc4q9oUmW1yo/edit?usp=sharing"",""น่าน!I244"")"),120)</f>
        <v>120</v>
      </c>
      <c r="J349" s="379">
        <f ca="1">IFERROR(__xludf.DUMMYFUNCTION("IMPORTRANGE(""https://docs.google.com/spreadsheets/d/11923uPwbBZFjjGgGUA6NLw09EwE0CqkOc4q9oUmW1yo/edit?usp=sharing"",""น่าน!J244"")"),0)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IFERROR(__xludf.DUMMYFUNCTION("IMPORTRANGE(""https://docs.google.com/spreadsheets/d/11923uPwbBZFjjGgGUA6NLw09EwE0CqkOc4q9oUmW1yo/edit?usp=sharing"",""น่าน!L244"")"),346610)</f>
        <v>346610</v>
      </c>
      <c r="M349" s="381"/>
      <c r="N349" s="381">
        <f ca="1">IFERROR(__xludf.DUMMYFUNCTION("IMPORTRANGE(""https://docs.google.com/spreadsheets/d/11923uPwbBZFjjGgGUA6NLw09EwE0CqkOc4q9oUmW1yo/edit?usp=sharing"",""น่าน!M244"")"),52119)</f>
        <v>52119</v>
      </c>
      <c r="O349" s="381">
        <f ca="1">+IF(L349&gt;0,N349*100/L349,0)</f>
        <v>15.0367848590635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IFERROR(__xludf.DUMMYFUNCTION("IMPORTRANGE(""https://docs.google.com/spreadsheets/d/11923uPwbBZFjjGgGUA6NLw09EwE0CqkOc4q9oUmW1yo/edit?usp=sharing"",""น่าน!I245"")"),45)</f>
        <v>45</v>
      </c>
      <c r="J350" s="379">
        <f ca="1">IFERROR(__xludf.DUMMYFUNCTION("IMPORTRANGE(""https://docs.google.com/spreadsheets/d/11923uPwbBZFjjGgGUA6NLw09EwE0CqkOc4q9oUmW1yo/edit?usp=sharing"",""น่าน!J245"")"),0)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IFERROR(__xludf.DUMMYFUNCTION("IMPORTRANGE(""https://docs.google.com/spreadsheets/d/11923uPwbBZFjjGgGUA6NLw09EwE0CqkOc4q9oUmW1yo/edit?usp=sharing"",""น่าน!L246"")"),0)</f>
        <v>0</v>
      </c>
      <c r="M351" s="172"/>
      <c r="N351" s="172">
        <f ca="1">IFERROR(__xludf.DUMMYFUNCTION("IMPORTRANGE(""https://docs.google.com/spreadsheets/d/11923uPwbBZFjjGgGUA6NLw09EwE0CqkOc4q9oUmW1yo/edit?usp=sharing"",""น่าน!M246"")"),0)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IFERROR(__xludf.DUMMYFUNCTION("IMPORTRANGE(""https://docs.google.com/spreadsheets/d/11923uPwbBZFjjGgGUA6NLw09EwE0CqkOc4q9oUmW1yo/edit?usp=sharing"",""น่าน!L247"")"),346610)</f>
        <v>346610</v>
      </c>
      <c r="M352" s="173"/>
      <c r="N352" s="172">
        <f ca="1">IFERROR(__xludf.DUMMYFUNCTION("IMPORTRANGE(""https://docs.google.com/spreadsheets/d/11923uPwbBZFjjGgGUA6NLw09EwE0CqkOc4q9oUmW1yo/edit?usp=sharing"",""น่าน!M247"")"),52119)</f>
        <v>52119</v>
      </c>
      <c r="O352" s="173">
        <f t="shared" ca="1" si="105"/>
        <v>15.0367848590635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IFERROR(__xludf.DUMMYFUNCTION("IMPORTRANGE(""https://docs.google.com/spreadsheets/d/11923uPwbBZFjjGgGUA6NLw09EwE0CqkOc4q9oUmW1yo/edit?usp=sharing"",""น่าน!L248"")"),0)</f>
        <v>0</v>
      </c>
      <c r="M353" s="178"/>
      <c r="N353" s="178">
        <f ca="1">IFERROR(__xludf.DUMMYFUNCTION("IMPORTRANGE(""https://docs.google.com/spreadsheets/d/11923uPwbBZFjjGgGUA6NLw09EwE0CqkOc4q9oUmW1yo/edit?usp=sharing"",""น่าน!M248"")"),0)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IFERROR(__xludf.DUMMYFUNCTION("IMPORTRANGE(""https://docs.google.com/spreadsheets/d/11923uPwbBZFjjGgGUA6NLw09EwE0CqkOc4q9oUmW1yo/edit?usp=sharing"",""น่าน!L249"")"),346610)</f>
        <v>346610</v>
      </c>
      <c r="M354" s="178"/>
      <c r="N354" s="175">
        <f ca="1">IFERROR(__xludf.DUMMYFUNCTION("IMPORTRANGE(""https://docs.google.com/spreadsheets/d/11923uPwbBZFjjGgGUA6NLw09EwE0CqkOc4q9oUmW1yo/edit?usp=sharing"",""น่าน!M249"")"),52119)</f>
        <v>52119</v>
      </c>
      <c r="O354" s="178">
        <f t="shared" ca="1" si="105"/>
        <v>15.0367848590635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IFERROR(__xludf.DUMMYFUNCTION("IMPORTRANGE(""https://docs.google.com/spreadsheets/d/11923uPwbBZFjjGgGUA6NLw09EwE0CqkOc4q9oUmW1yo/edit?usp=sharing"",""น่าน!M250"")"),13210)</f>
        <v>13210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IFERROR(__xludf.DUMMYFUNCTION("IMPORTRANGE(""https://docs.google.com/spreadsheets/d/11923uPwbBZFjjGgGUA6NLw09EwE0CqkOc4q9oUmW1yo/edit?usp=sharing"",""น่าน!M251"")"),0)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IFERROR(__xludf.DUMMYFUNCTION("IMPORTRANGE(""https://docs.google.com/spreadsheets/d/11923uPwbBZFjjGgGUA6NLw09EwE0CqkOc4q9oUmW1yo/edit?usp=sharing"",""น่าน!M252"")"),34449)</f>
        <v>34449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IFERROR(__xludf.DUMMYFUNCTION("IMPORTRANGE(""https://docs.google.com/spreadsheets/d/11923uPwbBZFjjGgGUA6NLw09EwE0CqkOc4q9oUmW1yo/edit?usp=sharing"",""น่าน!M253"")"),4460)</f>
        <v>4460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IFERROR(__xludf.DUMMYFUNCTION("IMPORTRANGE(""https://docs.google.com/spreadsheets/d/11923uPwbBZFjjGgGUA6NLw09EwE0CqkOc4q9oUmW1yo/edit?usp=sharing"",""น่าน!J255"")"),0)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IFERROR(__xludf.DUMMYFUNCTION("IMPORTRANGE(""https://docs.google.com/spreadsheets/d/11923uPwbBZFjjGgGUA6NLw09EwE0CqkOc4q9oUmW1yo/edit?usp=sharing"",""น่าน!J256"")"),1)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IFERROR(__xludf.DUMMYFUNCTION("IMPORTRANGE(""https://docs.google.com/spreadsheets/d/11923uPwbBZFjjGgGUA6NLw09EwE0CqkOc4q9oUmW1yo/edit?usp=sharing"",""น่าน!J257"")"),1)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IFERROR(__xludf.DUMMYFUNCTION("IMPORTRANGE(""https://docs.google.com/spreadsheets/d/11923uPwbBZFjjGgGUA6NLw09EwE0CqkOc4q9oUmW1yo/edit?usp=sharing"",""น่าน!J258"")"),1)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IFERROR(__xludf.DUMMYFUNCTION("IMPORTRANGE(""https://docs.google.com/spreadsheets/d/11923uPwbBZFjjGgGUA6NLw09EwE0CqkOc4q9oUmW1yo/edit?usp=sharing"",""น่าน!J166"")"),0)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IFERROR(__xludf.DUMMYFUNCTION("IMPORTRANGE(""https://docs.google.com/spreadsheets/d/11923uPwbBZFjjGgGUA6NLw09EwE0CqkOc4q9oUmW1yo/edit?usp=sharing"",""น่าน!J166"")"),0)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IFERROR(__xludf.DUMMYFUNCTION("IMPORTRANGE(""https://docs.google.com/spreadsheets/d/11923uPwbBZFjjGgGUA6NLw09EwE0CqkOc4q9oUmW1yo/edit?usp=sharing"",""น่าน!J166"")"),0)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IFERROR(__xludf.DUMMYFUNCTION("IMPORTRANGE(""https://docs.google.com/spreadsheets/d/11923uPwbBZFjjGgGUA6NLw09EwE0CqkOc4q9oUmW1yo/edit?usp=sharing"",""น่าน!J166"")"),0)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IFERROR(__xludf.DUMMYFUNCTION("IMPORTRANGE(""https://docs.google.com/spreadsheets/d/11923uPwbBZFjjGgGUA6NLw09EwE0CqkOc4q9oUmW1yo/edit?usp=sharing"",""น่าน!I263"")"),45)</f>
        <v>45</v>
      </c>
      <c r="J368" s="197">
        <f ca="1">IFERROR(__xludf.DUMMYFUNCTION("IMPORTRANGE(""https://docs.google.com/spreadsheets/d/11923uPwbBZFjjGgGUA6NLw09EwE0CqkOc4q9oUmW1yo/edit?usp=sharing"",""น่าน!J263"")"),0)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IFERROR(__xludf.DUMMYFUNCTION("IMPORTRANGE(""https://docs.google.com/spreadsheets/d/11923uPwbBZFjjGgGUA6NLw09EwE0CqkOc4q9oUmW1yo/edit?usp=sharing"",""น่าน!I164"")"),0)</f>
        <v>0</v>
      </c>
      <c r="J369" s="213">
        <f ca="1">IFERROR(__xludf.DUMMYFUNCTION("IMPORTRANGE(""https://docs.google.com/spreadsheets/d/11923uPwbBZFjjGgGUA6NLw09EwE0CqkOc4q9oUmW1yo/edit?usp=sharing"",""น่าน!J164"")"),0)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IFERROR(__xludf.DUMMYFUNCTION("IMPORTRANGE(""https://docs.google.com/spreadsheets/d/11923uPwbBZFjjGgGUA6NLw09EwE0CqkOc4q9oUmW1yo/edit?usp=sharing"",""น่าน!I265"")"),45)</f>
        <v>45</v>
      </c>
      <c r="J370" s="213">
        <f ca="1">IFERROR(__xludf.DUMMYFUNCTION("IMPORTRANGE(""https://docs.google.com/spreadsheets/d/11923uPwbBZFjjGgGUA6NLw09EwE0CqkOc4q9oUmW1yo/edit?usp=sharing"",""น่าน!J265"")"),45)</f>
        <v>45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IFERROR(__xludf.DUMMYFUNCTION("IMPORTRANGE(""https://docs.google.com/spreadsheets/d/11923uPwbBZFjjGgGUA6NLw09EwE0CqkOc4q9oUmW1yo/edit?usp=sharing"",""น่าน!I164"")"),0)</f>
        <v>0</v>
      </c>
      <c r="J371" s="198">
        <f ca="1">IFERROR(__xludf.DUMMYFUNCTION("IMPORTRANGE(""https://docs.google.com/spreadsheets/d/11923uPwbBZFjjGgGUA6NLw09EwE0CqkOc4q9oUmW1yo/edit?usp=sharing"",""น่าน!J164"")"),0)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IFERROR(__xludf.DUMMYFUNCTION("IMPORTRANGE(""https://docs.google.com/spreadsheets/d/11923uPwbBZFjjGgGUA6NLw09EwE0CqkOc4q9oUmW1yo/edit?usp=sharing"",""น่าน!I267"")"),45)</f>
        <v>45</v>
      </c>
      <c r="J372" s="198">
        <f ca="1">IFERROR(__xludf.DUMMYFUNCTION("IMPORTRANGE(""https://docs.google.com/spreadsheets/d/11923uPwbBZFjjGgGUA6NLw09EwE0CqkOc4q9oUmW1yo/edit?usp=sharing"",""น่าน!J267"")"),0)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IFERROR(__xludf.DUMMYFUNCTION("IMPORTRANGE(""https://docs.google.com/spreadsheets/d/11923uPwbBZFjjGgGUA6NLw09EwE0CqkOc4q9oUmW1yo/edit?usp=sharing"",""น่าน!I164"")"),0)</f>
        <v>0</v>
      </c>
      <c r="J373" s="213">
        <f ca="1">IFERROR(__xludf.DUMMYFUNCTION("IMPORTRANGE(""https://docs.google.com/spreadsheets/d/11923uPwbBZFjjGgGUA6NLw09EwE0CqkOc4q9oUmW1yo/edit?usp=sharing"",""น่าน!J164"")"),0)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IFERROR(__xludf.DUMMYFUNCTION("IMPORTRANGE(""https://docs.google.com/spreadsheets/d/11923uPwbBZFjjGgGUA6NLw09EwE0CqkOc4q9oUmW1yo/edit?usp=sharing"",""น่าน!I164"")"),0)</f>
        <v>0</v>
      </c>
      <c r="J374" s="197">
        <f ca="1">IFERROR(__xludf.DUMMYFUNCTION("IMPORTRANGE(""https://docs.google.com/spreadsheets/d/11923uPwbBZFjjGgGUA6NLw09EwE0CqkOc4q9oUmW1yo/edit?usp=sharing"",""น่าน!J164"")"),0)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IFERROR(__xludf.DUMMYFUNCTION("IMPORTRANGE(""https://docs.google.com/spreadsheets/d/11923uPwbBZFjjGgGUA6NLw09EwE0CqkOc4q9oUmW1yo/edit?usp=sharing"",""น่าน!I270"")"),120)</f>
        <v>120</v>
      </c>
      <c r="J375" s="197">
        <f ca="1">IFERROR(__xludf.DUMMYFUNCTION("IMPORTRANGE(""https://docs.google.com/spreadsheets/d/11923uPwbBZFjjGgGUA6NLw09EwE0CqkOc4q9oUmW1yo/edit?usp=sharing"",""น่าน!J270"")"),0)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IFERROR(__xludf.DUMMYFUNCTION("IMPORTRANGE(""https://docs.google.com/spreadsheets/d/11923uPwbBZFjjGgGUA6NLw09EwE0CqkOc4q9oUmW1yo/edit?usp=sharing"",""น่าน!I271"")"),60)</f>
        <v>60</v>
      </c>
      <c r="J376" s="198">
        <f ca="1">IFERROR(__xludf.DUMMYFUNCTION("IMPORTRANGE(""https://docs.google.com/spreadsheets/d/11923uPwbBZFjjGgGUA6NLw09EwE0CqkOc4q9oUmW1yo/edit?usp=sharing"",""น่าน!J271"")"),0)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IFERROR(__xludf.DUMMYFUNCTION("IMPORTRANGE(""https://docs.google.com/spreadsheets/d/11923uPwbBZFjjGgGUA6NLw09EwE0CqkOc4q9oUmW1yo/edit?usp=sharing"",""น่าน!I272"")"),60)</f>
        <v>60</v>
      </c>
      <c r="J377" s="213">
        <f ca="1">IFERROR(__xludf.DUMMYFUNCTION("IMPORTRANGE(""https://docs.google.com/spreadsheets/d/11923uPwbBZFjjGgGUA6NLw09EwE0CqkOc4q9oUmW1yo/edit?usp=sharing"",""น่าน!J272"")"),0)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IFERROR(__xludf.DUMMYFUNCTION("IMPORTRANGE(""https://docs.google.com/spreadsheets/d/11923uPwbBZFjjGgGUA6NLw09EwE0CqkOc4q9oUmW1yo/edit?usp=sharing"",""น่าน!J273"")"),0)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IFERROR(__xludf.DUMMYFUNCTION("IMPORTRANGE(""https://docs.google.com/spreadsheets/d/11923uPwbBZFjjGgGUA6NLw09EwE0CqkOc4q9oUmW1yo/edit?usp=sharing"",""น่าน!J274"")"),0)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IFERROR(__xludf.DUMMYFUNCTION("IMPORTRANGE(""https://docs.google.com/spreadsheets/d/11923uPwbBZFjjGgGUA6NLw09EwE0CqkOc4q9oUmW1yo/edit?usp=sharing"",""น่าน!I275"")"),1000)</f>
        <v>1000</v>
      </c>
      <c r="J380" s="379">
        <f ca="1">IFERROR(__xludf.DUMMYFUNCTION("IMPORTRANGE(""https://docs.google.com/spreadsheets/d/11923uPwbBZFjjGgGUA6NLw09EwE0CqkOc4q9oUmW1yo/edit?usp=sharing"",""น่าน!J275"")"),0)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IFERROR(__xludf.DUMMYFUNCTION("IMPORTRANGE(""https://docs.google.com/spreadsheets/d/11923uPwbBZFjjGgGUA6NLw09EwE0CqkOc4q9oUmW1yo/edit?usp=sharing"",""น่าน!L275"")"),1028520)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IFERROR(__xludf.DUMMYFUNCTION("IMPORTRANGE(""https://docs.google.com/spreadsheets/d/11923uPwbBZFjjGgGUA6NLw09EwE0CqkOc4q9oUmW1yo/edit?usp=sharing"",""น่าน!M275"")"),113348)</f>
        <v>113348</v>
      </c>
      <c r="O380" s="381">
        <f ca="1">+IF(L380&gt;0,N380*100/L380,0)</f>
        <v>11.020495469217906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IFERROR(__xludf.DUMMYFUNCTION("IMPORTRANGE(""https://docs.google.com/spreadsheets/d/11923uPwbBZFjjGgGUA6NLw09EwE0CqkOc4q9oUmW1yo/edit?usp=sharing"",""น่าน!I276"")"),100)</f>
        <v>100</v>
      </c>
      <c r="J381" s="379">
        <f ca="1">IFERROR(__xludf.DUMMYFUNCTION("IMPORTRANGE(""https://docs.google.com/spreadsheets/d/11923uPwbBZFjjGgGUA6NLw09EwE0CqkOc4q9oUmW1yo/edit?usp=sharing"",""น่าน!J276"")"),70)</f>
        <v>70</v>
      </c>
      <c r="K381" s="380">
        <f t="shared" ca="1" si="108"/>
        <v>70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IFERROR(__xludf.DUMMYFUNCTION("IMPORTRANGE(""https://docs.google.com/spreadsheets/d/11923uPwbBZFjjGgGUA6NLw09EwE0CqkOc4q9oUmW1yo/edit?usp=sharing"",""น่าน!L277"")"),0)</f>
        <v>0</v>
      </c>
      <c r="M382" s="172"/>
      <c r="N382" s="172">
        <f ca="1">IFERROR(__xludf.DUMMYFUNCTION("IMPORTRANGE(""https://docs.google.com/spreadsheets/d/11923uPwbBZFjjGgGUA6NLw09EwE0CqkOc4q9oUmW1yo/edit?usp=sharing"",""น่าน!M277"")"),0)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IFERROR(__xludf.DUMMYFUNCTION("IMPORTRANGE(""https://docs.google.com/spreadsheets/d/11923uPwbBZFjjGgGUA6NLw09EwE0CqkOc4q9oUmW1yo/edit?usp=sharing"",""น่าน!L278"")"),1028520)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IFERROR(__xludf.DUMMYFUNCTION("IMPORTRANGE(""https://docs.google.com/spreadsheets/d/11923uPwbBZFjjGgGUA6NLw09EwE0CqkOc4q9oUmW1yo/edit?usp=sharing"",""น่าน!M278"")"),113348)</f>
        <v>113348</v>
      </c>
      <c r="O383" s="173">
        <f t="shared" ca="1" si="109"/>
        <v>11.020495469217906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IFERROR(__xludf.DUMMYFUNCTION("IMPORTRANGE(""https://docs.google.com/spreadsheets/d/11923uPwbBZFjjGgGUA6NLw09EwE0CqkOc4q9oUmW1yo/edit?usp=sharing"",""น่าน!L279"")"),0)</f>
        <v>0</v>
      </c>
      <c r="M384" s="178"/>
      <c r="N384" s="178">
        <f ca="1">IFERROR(__xludf.DUMMYFUNCTION("IMPORTRANGE(""https://docs.google.com/spreadsheets/d/11923uPwbBZFjjGgGUA6NLw09EwE0CqkOc4q9oUmW1yo/edit?usp=sharing"",""น่าน!M279"")"),0)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IFERROR(__xludf.DUMMYFUNCTION("IMPORTRANGE(""https://docs.google.com/spreadsheets/d/11923uPwbBZFjjGgGUA6NLw09EwE0CqkOc4q9oUmW1yo/edit?usp=sharing"",""น่าน!L280"")"),1028520)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IFERROR(__xludf.DUMMYFUNCTION("IMPORTRANGE(""https://docs.google.com/spreadsheets/d/11923uPwbBZFjjGgGUA6NLw09EwE0CqkOc4q9oUmW1yo/edit?usp=sharing"",""น่าน!M280"")"),113348)</f>
        <v>113348</v>
      </c>
      <c r="O385" s="178">
        <f t="shared" ca="1" si="109"/>
        <v>11.020495469217906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IFERROR(__xludf.DUMMYFUNCTION("IMPORTRANGE(""https://docs.google.com/spreadsheets/d/11923uPwbBZFjjGgGUA6NLw09EwE0CqkOc4q9oUmW1yo/edit?usp=sharing"",""น่าน!M281"")"),79790)</f>
        <v>79790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IFERROR(__xludf.DUMMYFUNCTION("IMPORTRANGE(""https://docs.google.com/spreadsheets/d/11923uPwbBZFjjGgGUA6NLw09EwE0CqkOc4q9oUmW1yo/edit?usp=sharing"",""น่าน!M282"")"),0)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IFERROR(__xludf.DUMMYFUNCTION("IMPORTRANGE(""https://docs.google.com/spreadsheets/d/11923uPwbBZFjjGgGUA6NLw09EwE0CqkOc4q9oUmW1yo/edit?usp=sharing"",""น่าน!M283"")"),33558)</f>
        <v>33558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IFERROR(__xludf.DUMMYFUNCTION("IMPORTRANGE(""https://docs.google.com/spreadsheets/d/11923uPwbBZFjjGgGUA6NLw09EwE0CqkOc4q9oUmW1yo/edit?usp=sharing"",""น่าน!M284"")"),0)</f>
        <v>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IFERROR(__xludf.DUMMYFUNCTION("IMPORTRANGE(""https://docs.google.com/spreadsheets/d/11923uPwbBZFjjGgGUA6NLw09EwE0CqkOc4q9oUmW1yo/edit?usp=sharing"",""น่าน!J286"")"),0)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IFERROR(__xludf.DUMMYFUNCTION("IMPORTRANGE(""https://docs.google.com/spreadsheets/d/11923uPwbBZFjjGgGUA6NLw09EwE0CqkOc4q9oUmW1yo/edit?usp=sharing"",""น่าน!J287"")"),1)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IFERROR(__xludf.DUMMYFUNCTION("IMPORTRANGE(""https://docs.google.com/spreadsheets/d/11923uPwbBZFjjGgGUA6NLw09EwE0CqkOc4q9oUmW1yo/edit?usp=sharing"",""น่าน!J288"")"),1)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IFERROR(__xludf.DUMMYFUNCTION("IMPORTRANGE(""https://docs.google.com/spreadsheets/d/11923uPwbBZFjjGgGUA6NLw09EwE0CqkOc4q9oUmW1yo/edit?usp=sharing"",""น่าน!J289"")"),1)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IFERROR(__xludf.DUMMYFUNCTION("IMPORTRANGE(""https://docs.google.com/spreadsheets/d/11923uPwbBZFjjGgGUA6NLw09EwE0CqkOc4q9oUmW1yo/edit?usp=sharing"",""น่าน!I291"")"),100)</f>
        <v>100</v>
      </c>
      <c r="J396" s="207">
        <f ca="1">IFERROR(__xludf.DUMMYFUNCTION("IMPORTRANGE(""https://docs.google.com/spreadsheets/d/11923uPwbBZFjjGgGUA6NLw09EwE0CqkOc4q9oUmW1yo/edit?usp=sharing"",""น่าน!J291"")"),70)</f>
        <v>70</v>
      </c>
      <c r="K396" s="171">
        <f t="shared" ref="K396:K398" ca="1" si="110">IF(I396&gt;0,J396*100/I396,0)</f>
        <v>70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IFERROR(__xludf.DUMMYFUNCTION("IMPORTRANGE(""https://docs.google.com/spreadsheets/d/11923uPwbBZFjjGgGUA6NLw09EwE0CqkOc4q9oUmW1yo/edit?usp=sharing"",""น่าน!I292"")"),1000)</f>
        <v>1000</v>
      </c>
      <c r="J397" s="207">
        <f ca="1">IFERROR(__xludf.DUMMYFUNCTION("IMPORTRANGE(""https://docs.google.com/spreadsheets/d/11923uPwbBZFjjGgGUA6NLw09EwE0CqkOc4q9oUmW1yo/edit?usp=sharing"",""น่าน!J292"")"),0)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IFERROR(__xludf.DUMMYFUNCTION("IMPORTRANGE(""https://docs.google.com/spreadsheets/d/11923uPwbBZFjjGgGUA6NLw09EwE0CqkOc4q9oUmW1yo/edit?usp=sharing"",""น่าน!I293"")"),100)</f>
        <v>100</v>
      </c>
      <c r="J398" s="207">
        <f ca="1">IFERROR(__xludf.DUMMYFUNCTION("IMPORTRANGE(""https://docs.google.com/spreadsheets/d/11923uPwbBZFjjGgGUA6NLw09EwE0CqkOc4q9oUmW1yo/edit?usp=sharing"",""น่าน!J293"")"),0)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IFERROR(__xludf.DUMMYFUNCTION("IMPORTRANGE(""https://docs.google.com/spreadsheets/d/11923uPwbBZFjjGgGUA6NLw09EwE0CqkOc4q9oUmW1yo/edit?usp=sharing"",""น่าน!J294"")"),0)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IFERROR(__xludf.DUMMYFUNCTION("IMPORTRANGE(""https://docs.google.com/spreadsheets/d/11923uPwbBZFjjGgGUA6NLw09EwE0CqkOc4q9oUmW1yo/edit?usp=sharing"",""น่าน!J295"")"),0)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IFERROR(__xludf.DUMMYFUNCTION("IMPORTRANGE(""https://docs.google.com/spreadsheets/d/11923uPwbBZFjjGgGUA6NLw09EwE0CqkOc4q9oUmW1yo/edit?usp=sharing"",""น่าน!I296"")"),150)</f>
        <v>150</v>
      </c>
      <c r="J401" s="379">
        <f ca="1">IFERROR(__xludf.DUMMYFUNCTION("IMPORTRANGE(""https://docs.google.com/spreadsheets/d/11923uPwbBZFjjGgGUA6NLw09EwE0CqkOc4q9oUmW1yo/edit?usp=sharing"",""น่าน!J296"")"),0)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IFERROR(__xludf.DUMMYFUNCTION("IMPORTRANGE(""https://docs.google.com/spreadsheets/d/11923uPwbBZFjjGgGUA6NLw09EwE0CqkOc4q9oUmW1yo/edit?usp=sharing"",""น่าน!L296"")"),172800)</f>
        <v>172800</v>
      </c>
      <c r="M401" s="381"/>
      <c r="N401" s="381">
        <f ca="1">IFERROR(__xludf.DUMMYFUNCTION("IMPORTRANGE(""https://docs.google.com/spreadsheets/d/11923uPwbBZFjjGgGUA6NLw09EwE0CqkOc4q9oUmW1yo/edit?usp=sharing"",""น่าน!M296"")"),8060)</f>
        <v>8060</v>
      </c>
      <c r="O401" s="381">
        <f ca="1">+IF(L401&gt;0,N401*100/L401,0)</f>
        <v>4.6643518518518521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IFERROR(__xludf.DUMMYFUNCTION("IMPORTRANGE(""https://docs.google.com/spreadsheets/d/11923uPwbBZFjjGgGUA6NLw09EwE0CqkOc4q9oUmW1yo/edit?usp=sharing"",""น่าน!I297"")"),50)</f>
        <v>50</v>
      </c>
      <c r="J402" s="379">
        <f ca="1">IFERROR(__xludf.DUMMYFUNCTION("IMPORTRANGE(""https://docs.google.com/spreadsheets/d/11923uPwbBZFjjGgGUA6NLw09EwE0CqkOc4q9oUmW1yo/edit?usp=sharing"",""น่าน!J297"")"),0)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IFERROR(__xludf.DUMMYFUNCTION("IMPORTRANGE(""https://docs.google.com/spreadsheets/d/11923uPwbBZFjjGgGUA6NLw09EwE0CqkOc4q9oUmW1yo/edit?usp=sharing"",""น่าน!L298"")"),0)</f>
        <v>0</v>
      </c>
      <c r="M403" s="172"/>
      <c r="N403" s="178">
        <f ca="1">IFERROR(__xludf.DUMMYFUNCTION("IMPORTRANGE(""https://docs.google.com/spreadsheets/d/11923uPwbBZFjjGgGUA6NLw09EwE0CqkOc4q9oUmW1yo/edit?usp=sharing"",""น่าน!M298"")"),0)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IFERROR(__xludf.DUMMYFUNCTION("IMPORTRANGE(""https://docs.google.com/spreadsheets/d/11923uPwbBZFjjGgGUA6NLw09EwE0CqkOc4q9oUmW1yo/edit?usp=sharing"",""น่าน!L299"")"),172800)</f>
        <v>172800</v>
      </c>
      <c r="M404" s="173"/>
      <c r="N404" s="178">
        <f ca="1">IFERROR(__xludf.DUMMYFUNCTION("IMPORTRANGE(""https://docs.google.com/spreadsheets/d/11923uPwbBZFjjGgGUA6NLw09EwE0CqkOc4q9oUmW1yo/edit?usp=sharing"",""น่าน!M299"")"),8060)</f>
        <v>8060</v>
      </c>
      <c r="O404" s="178">
        <f t="shared" ca="1" si="112"/>
        <v>4.6643518518518521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IFERROR(__xludf.DUMMYFUNCTION("IMPORTRANGE(""https://docs.google.com/spreadsheets/d/11923uPwbBZFjjGgGUA6NLw09EwE0CqkOc4q9oUmW1yo/edit?usp=sharing"",""น่าน!L300"")"),0)</f>
        <v>0</v>
      </c>
      <c r="M405" s="178"/>
      <c r="N405" s="178">
        <f ca="1">IFERROR(__xludf.DUMMYFUNCTION("IMPORTRANGE(""https://docs.google.com/spreadsheets/d/11923uPwbBZFjjGgGUA6NLw09EwE0CqkOc4q9oUmW1yo/edit?usp=sharing"",""น่าน!M300"")"),0)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IFERROR(__xludf.DUMMYFUNCTION("IMPORTRANGE(""https://docs.google.com/spreadsheets/d/11923uPwbBZFjjGgGUA6NLw09EwE0CqkOc4q9oUmW1yo/edit?usp=sharing"",""น่าน!L301"")"),172800)</f>
        <v>172800</v>
      </c>
      <c r="M406" s="178"/>
      <c r="N406" s="178">
        <f ca="1">IFERROR(__xludf.DUMMYFUNCTION("IMPORTRANGE(""https://docs.google.com/spreadsheets/d/11923uPwbBZFjjGgGUA6NLw09EwE0CqkOc4q9oUmW1yo/edit?usp=sharing"",""น่าน!M301"")"),8060)</f>
        <v>8060</v>
      </c>
      <c r="O406" s="178">
        <f t="shared" ca="1" si="112"/>
        <v>4.6643518518518521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IFERROR(__xludf.DUMMYFUNCTION("IMPORTRANGE(""https://docs.google.com/spreadsheets/d/11923uPwbBZFjjGgGUA6NLw09EwE0CqkOc4q9oUmW1yo/edit?usp=sharing"",""น่าน!M302"")"),8060)</f>
        <v>8060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IFERROR(__xludf.DUMMYFUNCTION("IMPORTRANGE(""https://docs.google.com/spreadsheets/d/11923uPwbBZFjjGgGUA6NLw09EwE0CqkOc4q9oUmW1yo/edit?usp=sharing"",""น่าน!M303"")"),0)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IFERROR(__xludf.DUMMYFUNCTION("IMPORTRANGE(""https://docs.google.com/spreadsheets/d/11923uPwbBZFjjGgGUA6NLw09EwE0CqkOc4q9oUmW1yo/edit?usp=sharing"",""น่าน!M304"")"),0)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IFERROR(__xludf.DUMMYFUNCTION("IMPORTRANGE(""https://docs.google.com/spreadsheets/d/11923uPwbBZFjjGgGUA6NLw09EwE0CqkOc4q9oUmW1yo/edit?usp=sharing"",""น่าน!M305"")"),0)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IFERROR(__xludf.DUMMYFUNCTION("IMPORTRANGE(""https://docs.google.com/spreadsheets/d/11923uPwbBZFjjGgGUA6NLw09EwE0CqkOc4q9oUmW1yo/edit?usp=sharing"",""น่าน!J307"")"),0)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IFERROR(__xludf.DUMMYFUNCTION("IMPORTRANGE(""https://docs.google.com/spreadsheets/d/11923uPwbBZFjjGgGUA6NLw09EwE0CqkOc4q9oUmW1yo/edit?usp=sharing"",""น่าน!J308"")"),1)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IFERROR(__xludf.DUMMYFUNCTION("IMPORTRANGE(""https://docs.google.com/spreadsheets/d/11923uPwbBZFjjGgGUA6NLw09EwE0CqkOc4q9oUmW1yo/edit?usp=sharing"",""น่าน!J309"")"),1)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IFERROR(__xludf.DUMMYFUNCTION("IMPORTRANGE(""https://docs.google.com/spreadsheets/d/11923uPwbBZFjjGgGUA6NLw09EwE0CqkOc4q9oUmW1yo/edit?usp=sharing"",""น่าน!J310"")"),1)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IFERROR(__xludf.DUMMYFUNCTION("IMPORTRANGE(""https://docs.google.com/spreadsheets/d/11923uPwbBZFjjGgGUA6NLw09EwE0CqkOc4q9oUmW1yo/edit?usp=sharing"",""น่าน!I311"")"),50)</f>
        <v>50</v>
      </c>
      <c r="J416" s="210">
        <f ca="1">IFERROR(__xludf.DUMMYFUNCTION("IMPORTRANGE(""https://docs.google.com/spreadsheets/d/11923uPwbBZFjjGgGUA6NLw09EwE0CqkOc4q9oUmW1yo/edit?usp=sharing"",""น่าน!J311"")"),0)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IFERROR(__xludf.DUMMYFUNCTION("IMPORTRANGE(""https://docs.google.com/spreadsheets/d/11923uPwbBZFjjGgGUA6NLw09EwE0CqkOc4q9oUmW1yo/edit?usp=sharing"",""น่าน!I312"")"),10)</f>
        <v>10</v>
      </c>
      <c r="J417" s="400">
        <f ca="1">IFERROR(__xludf.DUMMYFUNCTION("IMPORTRANGE(""https://docs.google.com/spreadsheets/d/11923uPwbBZFjjGgGUA6NLw09EwE0CqkOc4q9oUmW1yo/edit?usp=sharing"",""น่าน!J312"")"),0)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IFERROR(__xludf.DUMMYFUNCTION("IMPORTRANGE(""https://docs.google.com/spreadsheets/d/11923uPwbBZFjjGgGUA6NLw09EwE0CqkOc4q9oUmW1yo/edit?usp=sharing"",""น่าน!I313"")"),30)</f>
        <v>30</v>
      </c>
      <c r="J418" s="401">
        <f ca="1">IFERROR(__xludf.DUMMYFUNCTION("IMPORTRANGE(""https://docs.google.com/spreadsheets/d/11923uPwbBZFjjGgGUA6NLw09EwE0CqkOc4q9oUmW1yo/edit?usp=sharing"",""น่าน!J313"")"),0)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IFERROR(__xludf.DUMMYFUNCTION("IMPORTRANGE(""https://docs.google.com/spreadsheets/d/11923uPwbBZFjjGgGUA6NLw09EwE0CqkOc4q9oUmW1yo/edit?usp=sharing"",""น่าน!I314"")"),10)</f>
        <v>10</v>
      </c>
      <c r="J419" s="402">
        <f ca="1">IFERROR(__xludf.DUMMYFUNCTION("IMPORTRANGE(""https://docs.google.com/spreadsheets/d/11923uPwbBZFjjGgGUA6NLw09EwE0CqkOc4q9oUmW1yo/edit?usp=sharing"",""น่าน!J314"")"),0)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IFERROR(__xludf.DUMMYFUNCTION("IMPORTRANGE(""https://docs.google.com/spreadsheets/d/11923uPwbBZFjjGgGUA6NLw09EwE0CqkOc4q9oUmW1yo/edit?usp=sharing"",""น่าน!I315"")"),10)</f>
        <v>10</v>
      </c>
      <c r="J420" s="402">
        <f ca="1">IFERROR(__xludf.DUMMYFUNCTION("IMPORTRANGE(""https://docs.google.com/spreadsheets/d/11923uPwbBZFjjGgGUA6NLw09EwE0CqkOc4q9oUmW1yo/edit?usp=sharing"",""น่าน!J315"")"),10)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IFERROR(__xludf.DUMMYFUNCTION("IMPORTRANGE(""https://docs.google.com/spreadsheets/d/11923uPwbBZFjjGgGUA6NLw09EwE0CqkOc4q9oUmW1yo/edit?usp=sharing"",""น่าน!I316"")"),30)</f>
        <v>30</v>
      </c>
      <c r="J421" s="400">
        <f ca="1">IFERROR(__xludf.DUMMYFUNCTION("IMPORTRANGE(""https://docs.google.com/spreadsheets/d/11923uPwbBZFjjGgGUA6NLw09EwE0CqkOc4q9oUmW1yo/edit?usp=sharing"",""น่าน!J316"")"),0)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IFERROR(__xludf.DUMMYFUNCTION("IMPORTRANGE(""https://docs.google.com/spreadsheets/d/11923uPwbBZFjjGgGUA6NLw09EwE0CqkOc4q9oUmW1yo/edit?usp=sharing"",""น่าน!I317"")"),90)</f>
        <v>90</v>
      </c>
      <c r="J422" s="401">
        <f ca="1">IFERROR(__xludf.DUMMYFUNCTION("IMPORTRANGE(""https://docs.google.com/spreadsheets/d/11923uPwbBZFjjGgGUA6NLw09EwE0CqkOc4q9oUmW1yo/edit?usp=sharing"",""น่าน!J317"")"),0)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IFERROR(__xludf.DUMMYFUNCTION("IMPORTRANGE(""https://docs.google.com/spreadsheets/d/11923uPwbBZFjjGgGUA6NLw09EwE0CqkOc4q9oUmW1yo/edit?usp=sharing"",""น่าน!I318"")"),30)</f>
        <v>30</v>
      </c>
      <c r="J423" s="402">
        <f ca="1">IFERROR(__xludf.DUMMYFUNCTION("IMPORTRANGE(""https://docs.google.com/spreadsheets/d/11923uPwbBZFjjGgGUA6NLw09EwE0CqkOc4q9oUmW1yo/edit?usp=sharing"",""น่าน!J318"")"),0)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IFERROR(__xludf.DUMMYFUNCTION("IMPORTRANGE(""https://docs.google.com/spreadsheets/d/11923uPwbBZFjjGgGUA6NLw09EwE0CqkOc4q9oUmW1yo/edit?usp=sharing"",""น่าน!I319"")"),30)</f>
        <v>30</v>
      </c>
      <c r="J424" s="402">
        <f ca="1">IFERROR(__xludf.DUMMYFUNCTION("IMPORTRANGE(""https://docs.google.com/spreadsheets/d/11923uPwbBZFjjGgGUA6NLw09EwE0CqkOc4q9oUmW1yo/edit?usp=sharing"",""น่าน!J319"")"),0)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IFERROR(__xludf.DUMMYFUNCTION("IMPORTRANGE(""https://docs.google.com/spreadsheets/d/11923uPwbBZFjjGgGUA6NLw09EwE0CqkOc4q9oUmW1yo/edit?usp=sharing"",""น่าน!I320"")"),30)</f>
        <v>30</v>
      </c>
      <c r="J425" s="402">
        <f ca="1">IFERROR(__xludf.DUMMYFUNCTION("IMPORTRANGE(""https://docs.google.com/spreadsheets/d/11923uPwbBZFjjGgGUA6NLw09EwE0CqkOc4q9oUmW1yo/edit?usp=sharing"",""น่าน!J320"")"),0)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IFERROR(__xludf.DUMMYFUNCTION("IMPORTRANGE(""https://docs.google.com/spreadsheets/d/11923uPwbBZFjjGgGUA6NLw09EwE0CqkOc4q9oUmW1yo/edit?usp=sharing"",""น่าน!I321"")"),10)</f>
        <v>10</v>
      </c>
      <c r="J426" s="400">
        <f ca="1">IFERROR(__xludf.DUMMYFUNCTION("IMPORTRANGE(""https://docs.google.com/spreadsheets/d/11923uPwbBZFjjGgGUA6NLw09EwE0CqkOc4q9oUmW1yo/edit?usp=sharing"",""น่าน!J321"")"),0)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IFERROR(__xludf.DUMMYFUNCTION("IMPORTRANGE(""https://docs.google.com/spreadsheets/d/11923uPwbBZFjjGgGUA6NLw09EwE0CqkOc4q9oUmW1yo/edit?usp=sharing"",""น่าน!I322"")"),30)</f>
        <v>30</v>
      </c>
      <c r="J427" s="401">
        <f ca="1">IFERROR(__xludf.DUMMYFUNCTION("IMPORTRANGE(""https://docs.google.com/spreadsheets/d/11923uPwbBZFjjGgGUA6NLw09EwE0CqkOc4q9oUmW1yo/edit?usp=sharing"",""น่าน!J322"")"),0)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IFERROR(__xludf.DUMMYFUNCTION("IMPORTRANGE(""https://docs.google.com/spreadsheets/d/11923uPwbBZFjjGgGUA6NLw09EwE0CqkOc4q9oUmW1yo/edit?usp=sharing"",""น่าน!I323"")"),10)</f>
        <v>10</v>
      </c>
      <c r="J428" s="402">
        <f ca="1">IFERROR(__xludf.DUMMYFUNCTION("IMPORTRANGE(""https://docs.google.com/spreadsheets/d/11923uPwbBZFjjGgGUA6NLw09EwE0CqkOc4q9oUmW1yo/edit?usp=sharing"",""น่าน!J323"")"),0)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IFERROR(__xludf.DUMMYFUNCTION("IMPORTRANGE(""https://docs.google.com/spreadsheets/d/11923uPwbBZFjjGgGUA6NLw09EwE0CqkOc4q9oUmW1yo/edit?usp=sharing"",""น่าน!I324"")"),10)</f>
        <v>10</v>
      </c>
      <c r="J429" s="402">
        <f ca="1">IFERROR(__xludf.DUMMYFUNCTION("IMPORTRANGE(""https://docs.google.com/spreadsheets/d/11923uPwbBZFjjGgGUA6NLw09EwE0CqkOc4q9oUmW1yo/edit?usp=sharing"",""น่าน!J324"")"),0)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IFERROR(__xludf.DUMMYFUNCTION("IMPORTRANGE(""https://docs.google.com/spreadsheets/d/11923uPwbBZFjjGgGUA6NLw09EwE0CqkOc4q9oUmW1yo/edit?usp=sharing"",""น่าน!I325"")"),40)</f>
        <v>40</v>
      </c>
      <c r="J430" s="400">
        <f ca="1">IFERROR(__xludf.DUMMYFUNCTION("IMPORTRANGE(""https://docs.google.com/spreadsheets/d/11923uPwbBZFjjGgGUA6NLw09EwE0CqkOc4q9oUmW1yo/edit?usp=sharing"",""น่าน!J325"")"),0)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IFERROR(__xludf.DUMMYFUNCTION("IMPORTRANGE(""https://docs.google.com/spreadsheets/d/11923uPwbBZFjjGgGUA6NLw09EwE0CqkOc4q9oUmW1yo/edit?usp=sharing"",""น่าน!I326"")"),10)</f>
        <v>10</v>
      </c>
      <c r="J431" s="402">
        <f ca="1">IFERROR(__xludf.DUMMYFUNCTION("IMPORTRANGE(""https://docs.google.com/spreadsheets/d/11923uPwbBZFjjGgGUA6NLw09EwE0CqkOc4q9oUmW1yo/edit?usp=sharing"",""น่าน!J326"")"),0)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IFERROR(__xludf.DUMMYFUNCTION("IMPORTRANGE(""https://docs.google.com/spreadsheets/d/11923uPwbBZFjjGgGUA6NLw09EwE0CqkOc4q9oUmW1yo/edit?usp=sharing"",""น่าน!I327"")"),30)</f>
        <v>30</v>
      </c>
      <c r="J432" s="402">
        <f ca="1">IFERROR(__xludf.DUMMYFUNCTION("IMPORTRANGE(""https://docs.google.com/spreadsheets/d/11923uPwbBZFjjGgGUA6NLw09EwE0CqkOc4q9oUmW1yo/edit?usp=sharing"",""น่าน!J327"")"),0)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IFERROR(__xludf.DUMMYFUNCTION("IMPORTRANGE(""https://docs.google.com/spreadsheets/d/11923uPwbBZFjjGgGUA6NLw09EwE0CqkOc4q9oUmW1yo/edit?usp=sharing"",""น่าน!J328"")"),0)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IFERROR(__xludf.DUMMYFUNCTION("IMPORTRANGE(""https://docs.google.com/spreadsheets/d/11923uPwbBZFjjGgGUA6NLw09EwE0CqkOc4q9oUmW1yo/edit?usp=sharing"",""น่าน!J329"")"),0)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IFERROR(__xludf.DUMMYFUNCTION("IMPORTRANGE(""https://docs.google.com/spreadsheets/d/11923uPwbBZFjjGgGUA6NLw09EwE0CqkOc4q9oUmW1yo/edit?usp=sharing"",""น่าน!I330"")"),35)</f>
        <v>35</v>
      </c>
      <c r="J435" s="418">
        <f ca="1">IFERROR(__xludf.DUMMYFUNCTION("IMPORTRANGE(""https://docs.google.com/spreadsheets/d/11923uPwbBZFjjGgGUA6NLw09EwE0CqkOc4q9oUmW1yo/edit?usp=sharing"",""น่าน!J330"")"),15)</f>
        <v>15</v>
      </c>
      <c r="K435" s="419">
        <f ca="1">IF(I435&gt;0,J435*100/I435,0)</f>
        <v>42.857142857142854</v>
      </c>
      <c r="L435" s="420">
        <f ca="1">IFERROR(__xludf.DUMMYFUNCTION("IMPORTRANGE(""https://docs.google.com/spreadsheets/d/11923uPwbBZFjjGgGUA6NLw09EwE0CqkOc4q9oUmW1yo/edit?usp=sharing"",""น่าน!L330"")"),123800)</f>
        <v>123800</v>
      </c>
      <c r="M435" s="420"/>
      <c r="N435" s="420">
        <f ca="1">IFERROR(__xludf.DUMMYFUNCTION("IMPORTRANGE(""https://docs.google.com/spreadsheets/d/11923uPwbBZFjjGgGUA6NLw09EwE0CqkOc4q9oUmW1yo/edit?usp=sharing"",""น่าน!M330"")"),30845)</f>
        <v>30845</v>
      </c>
      <c r="O435" s="420">
        <f t="shared" ref="O435:O439" ca="1" si="114">+IF(L435&gt;0,N435*100/L435,0)</f>
        <v>24.91518578352181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IFERROR(__xludf.DUMMYFUNCTION("IMPORTRANGE(""https://docs.google.com/spreadsheets/d/11923uPwbBZFjjGgGUA6NLw09EwE0CqkOc4q9oUmW1yo/edit?usp=sharing"",""น่าน!L331"")"),0)</f>
        <v>0</v>
      </c>
      <c r="M436" s="172"/>
      <c r="N436" s="178">
        <f ca="1">IFERROR(__xludf.DUMMYFUNCTION("IMPORTRANGE(""https://docs.google.com/spreadsheets/d/11923uPwbBZFjjGgGUA6NLw09EwE0CqkOc4q9oUmW1yo/edit?usp=sharing"",""น่าน!M331"")"),0)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IFERROR(__xludf.DUMMYFUNCTION("IMPORTRANGE(""https://docs.google.com/spreadsheets/d/11923uPwbBZFjjGgGUA6NLw09EwE0CqkOc4q9oUmW1yo/edit?usp=sharing"",""น่าน!L332"")"),123800)</f>
        <v>123800</v>
      </c>
      <c r="M437" s="173"/>
      <c r="N437" s="178">
        <f ca="1">IFERROR(__xludf.DUMMYFUNCTION("IMPORTRANGE(""https://docs.google.com/spreadsheets/d/11923uPwbBZFjjGgGUA6NLw09EwE0CqkOc4q9oUmW1yo/edit?usp=sharing"",""น่าน!M332"")"),30845)</f>
        <v>30845</v>
      </c>
      <c r="O437" s="178">
        <f t="shared" ca="1" si="114"/>
        <v>24.91518578352181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IFERROR(__xludf.DUMMYFUNCTION("IMPORTRANGE(""https://docs.google.com/spreadsheets/d/11923uPwbBZFjjGgGUA6NLw09EwE0CqkOc4q9oUmW1yo/edit?usp=sharing"",""น่าน!L333"")"),0)</f>
        <v>0</v>
      </c>
      <c r="M438" s="178"/>
      <c r="N438" s="178">
        <f ca="1">IFERROR(__xludf.DUMMYFUNCTION("IMPORTRANGE(""https://docs.google.com/spreadsheets/d/11923uPwbBZFjjGgGUA6NLw09EwE0CqkOc4q9oUmW1yo/edit?usp=sharing"",""น่าน!M333"")"),0)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IFERROR(__xludf.DUMMYFUNCTION("IMPORTRANGE(""https://docs.google.com/spreadsheets/d/11923uPwbBZFjjGgGUA6NLw09EwE0CqkOc4q9oUmW1yo/edit?usp=sharing"",""น่าน!L334"")"),123800)</f>
        <v>123800</v>
      </c>
      <c r="M439" s="178"/>
      <c r="N439" s="178">
        <f ca="1">IFERROR(__xludf.DUMMYFUNCTION("IMPORTRANGE(""https://docs.google.com/spreadsheets/d/11923uPwbBZFjjGgGUA6NLw09EwE0CqkOc4q9oUmW1yo/edit?usp=sharing"",""น่าน!M334"")"),30845)</f>
        <v>30845</v>
      </c>
      <c r="O439" s="178">
        <f t="shared" ca="1" si="114"/>
        <v>24.91518578352181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IFERROR(__xludf.DUMMYFUNCTION("IMPORTRANGE(""https://docs.google.com/spreadsheets/d/11923uPwbBZFjjGgGUA6NLw09EwE0CqkOc4q9oUmW1yo/edit?usp=sharing"",""น่าน!M335"")"),25645)</f>
        <v>25645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IFERROR(__xludf.DUMMYFUNCTION("IMPORTRANGE(""https://docs.google.com/spreadsheets/d/11923uPwbBZFjjGgGUA6NLw09EwE0CqkOc4q9oUmW1yo/edit?usp=sharing"",""น่าน!M336"")"),0)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IFERROR(__xludf.DUMMYFUNCTION("IMPORTRANGE(""https://docs.google.com/spreadsheets/d/11923uPwbBZFjjGgGUA6NLw09EwE0CqkOc4q9oUmW1yo/edit?usp=sharing"",""น่าน!M337"")"),0)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IFERROR(__xludf.DUMMYFUNCTION("IMPORTRANGE(""https://docs.google.com/spreadsheets/d/11923uPwbBZFjjGgGUA6NLw09EwE0CqkOc4q9oUmW1yo/edit?usp=sharing"",""น่าน!M338"")"),5200)</f>
        <v>5200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IFERROR(__xludf.DUMMYFUNCTION("IMPORTRANGE(""https://docs.google.com/spreadsheets/d/11923uPwbBZFjjGgGUA6NLw09EwE0CqkOc4q9oUmW1yo/edit?usp=sharing"",""น่าน!J340"")"),0)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IFERROR(__xludf.DUMMYFUNCTION("IMPORTRANGE(""https://docs.google.com/spreadsheets/d/11923uPwbBZFjjGgGUA6NLw09EwE0CqkOc4q9oUmW1yo/edit?usp=sharing"",""น่าน!J341"")"),1)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IFERROR(__xludf.DUMMYFUNCTION("IMPORTRANGE(""https://docs.google.com/spreadsheets/d/11923uPwbBZFjjGgGUA6NLw09EwE0CqkOc4q9oUmW1yo/edit?usp=sharing"",""น่าน!J342"")"),1)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IFERROR(__xludf.DUMMYFUNCTION("IMPORTRANGE(""https://docs.google.com/spreadsheets/d/11923uPwbBZFjjGgGUA6NLw09EwE0CqkOc4q9oUmW1yo/edit?usp=sharing"",""น่าน!J343"")"),1)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IFERROR(__xludf.DUMMYFUNCTION("IMPORTRANGE(""https://docs.google.com/spreadsheets/d/11923uPwbBZFjjGgGUA6NLw09EwE0CqkOc4q9oUmW1yo/edit?usp=sharing"",""น่าน!I344"")"),35)</f>
        <v>35</v>
      </c>
      <c r="J449" s="210">
        <f ca="1">IFERROR(__xludf.DUMMYFUNCTION("IMPORTRANGE(""https://docs.google.com/spreadsheets/d/11923uPwbBZFjjGgGUA6NLw09EwE0CqkOc4q9oUmW1yo/edit?usp=sharing"",""น่าน!J344"")"),15)</f>
        <v>15</v>
      </c>
      <c r="K449" s="171">
        <f t="shared" ref="K449:K452" ca="1" si="115">IF(I449&gt;0,J449*100/I449,0)</f>
        <v>42.857142857142854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IFERROR(__xludf.DUMMYFUNCTION("IMPORTRANGE(""https://docs.google.com/spreadsheets/d/11923uPwbBZFjjGgGUA6NLw09EwE0CqkOc4q9oUmW1yo/edit?usp=sharing"",""น่าน!I345"")"),15)</f>
        <v>15</v>
      </c>
      <c r="J450" s="198">
        <f ca="1">IFERROR(__xludf.DUMMYFUNCTION("IMPORTRANGE(""https://docs.google.com/spreadsheets/d/11923uPwbBZFjjGgGUA6NLw09EwE0CqkOc4q9oUmW1yo/edit?usp=sharing"",""น่าน!J345"")"),15)</f>
        <v>15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IFERROR(__xludf.DUMMYFUNCTION("IMPORTRANGE(""https://docs.google.com/spreadsheets/d/11923uPwbBZFjjGgGUA6NLw09EwE0CqkOc4q9oUmW1yo/edit?usp=sharing"",""น่าน!I346"")"),20)</f>
        <v>20</v>
      </c>
      <c r="J451" s="197">
        <f ca="1">IFERROR(__xludf.DUMMYFUNCTION("IMPORTRANGE(""https://docs.google.com/spreadsheets/d/11923uPwbBZFjjGgGUA6NLw09EwE0CqkOc4q9oUmW1yo/edit?usp=sharing"",""น่าน!J346"")"),0)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IFERROR(__xludf.DUMMYFUNCTION("IMPORTRANGE(""https://docs.google.com/spreadsheets/d/11923uPwbBZFjjGgGUA6NLw09EwE0CqkOc4q9oUmW1yo/edit?usp=sharing"",""น่าน!I347"")"),0)</f>
        <v>0</v>
      </c>
      <c r="J452" s="197">
        <f ca="1">IFERROR(__xludf.DUMMYFUNCTION("IMPORTRANGE(""https://docs.google.com/spreadsheets/d/11923uPwbBZFjjGgGUA6NLw09EwE0CqkOc4q9oUmW1yo/edit?usp=sharing"",""น่าน!J347"")"),0)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IFERROR(__xludf.DUMMYFUNCTION("IMPORTRANGE(""https://docs.google.com/spreadsheets/d/11923uPwbBZFjjGgGUA6NLw09EwE0CqkOc4q9oUmW1yo/edit?usp=sharing"",""น่าน!J348"")"),0)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IFERROR(__xludf.DUMMYFUNCTION("IMPORTRANGE(""https://docs.google.com/spreadsheets/d/11923uPwbBZFjjGgGUA6NLw09EwE0CqkOc4q9oUmW1yo/edit?usp=sharing"",""น่าน!J349"")"),0)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IFERROR(__xludf.DUMMYFUNCTION("IMPORTRANGE(""https://docs.google.com/spreadsheets/d/11923uPwbBZFjjGgGUA6NLw09EwE0CqkOc4q9oUmW1yo/edit?usp=sharing"",""น่าน!I350"")"),52202)</f>
        <v>52202</v>
      </c>
      <c r="J455" s="379">
        <f ca="1">IFERROR(__xludf.DUMMYFUNCTION("IMPORTRANGE(""https://docs.google.com/spreadsheets/d/11923uPwbBZFjjGgGUA6NLw09EwE0CqkOc4q9oUmW1yo/edit?usp=sharing"",""น่าน!J350"")"),0)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IFERROR(__xludf.DUMMYFUNCTION("IMPORTRANGE(""https://docs.google.com/spreadsheets/d/11923uPwbBZFjjGgGUA6NLw09EwE0CqkOc4q9oUmW1yo/edit?usp=sharing"",""น่าน!L350"")"),611754)</f>
        <v>611754</v>
      </c>
      <c r="M455" s="381"/>
      <c r="N455" s="381">
        <f ca="1">IFERROR(__xludf.DUMMYFUNCTION("IMPORTRANGE(""https://docs.google.com/spreadsheets/d/11923uPwbBZFjjGgGUA6NLw09EwE0CqkOc4q9oUmW1yo/edit?usp=sharing"",""น่าน!M350"")"),22996)</f>
        <v>22996</v>
      </c>
      <c r="O455" s="381">
        <f t="shared" ref="O455:O459" ca="1" si="116">+IF(L455&gt;0,N455*100/L455,0)</f>
        <v>3.7590273214396634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IFERROR(__xludf.DUMMYFUNCTION("IMPORTRANGE(""https://docs.google.com/spreadsheets/d/11923uPwbBZFjjGgGUA6NLw09EwE0CqkOc4q9oUmW1yo/edit?usp=sharing"",""น่าน!L351"")"),0)</f>
        <v>0</v>
      </c>
      <c r="M456" s="172"/>
      <c r="N456" s="178">
        <f ca="1">IFERROR(__xludf.DUMMYFUNCTION("IMPORTRANGE(""https://docs.google.com/spreadsheets/d/11923uPwbBZFjjGgGUA6NLw09EwE0CqkOc4q9oUmW1yo/edit?usp=sharing"",""น่าน!M351"")"),0)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IFERROR(__xludf.DUMMYFUNCTION("IMPORTRANGE(""https://docs.google.com/spreadsheets/d/11923uPwbBZFjjGgGUA6NLw09EwE0CqkOc4q9oUmW1yo/edit?usp=sharing"",""น่าน!L352"")"),611754)</f>
        <v>611754</v>
      </c>
      <c r="M457" s="173"/>
      <c r="N457" s="178">
        <f ca="1">IFERROR(__xludf.DUMMYFUNCTION("IMPORTRANGE(""https://docs.google.com/spreadsheets/d/11923uPwbBZFjjGgGUA6NLw09EwE0CqkOc4q9oUmW1yo/edit?usp=sharing"",""น่าน!M352"")"),22996)</f>
        <v>22996</v>
      </c>
      <c r="O457" s="178">
        <f t="shared" ca="1" si="116"/>
        <v>3.7590273214396634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IFERROR(__xludf.DUMMYFUNCTION("IMPORTRANGE(""https://docs.google.com/spreadsheets/d/11923uPwbBZFjjGgGUA6NLw09EwE0CqkOc4q9oUmW1yo/edit?usp=sharing"",""น่าน!L353"")"),0)</f>
        <v>0</v>
      </c>
      <c r="M458" s="178"/>
      <c r="N458" s="178">
        <f ca="1">IFERROR(__xludf.DUMMYFUNCTION("IMPORTRANGE(""https://docs.google.com/spreadsheets/d/11923uPwbBZFjjGgGUA6NLw09EwE0CqkOc4q9oUmW1yo/edit?usp=sharing"",""น่าน!M353"")"),0)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IFERROR(__xludf.DUMMYFUNCTION("IMPORTRANGE(""https://docs.google.com/spreadsheets/d/11923uPwbBZFjjGgGUA6NLw09EwE0CqkOc4q9oUmW1yo/edit?usp=sharing"",""น่าน!L354"")"),611754)</f>
        <v>611754</v>
      </c>
      <c r="M459" s="178"/>
      <c r="N459" s="178">
        <f ca="1">IFERROR(__xludf.DUMMYFUNCTION("IMPORTRANGE(""https://docs.google.com/spreadsheets/d/11923uPwbBZFjjGgGUA6NLw09EwE0CqkOc4q9oUmW1yo/edit?usp=sharing"",""น่าน!M354"")"),22996)</f>
        <v>22996</v>
      </c>
      <c r="O459" s="178">
        <f t="shared" ca="1" si="116"/>
        <v>3.7590273214396634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IFERROR(__xludf.DUMMYFUNCTION("IMPORTRANGE(""https://docs.google.com/spreadsheets/d/11923uPwbBZFjjGgGUA6NLw09EwE0CqkOc4q9oUmW1yo/edit?usp=sharing"",""น่าน!M355"")"),0)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IFERROR(__xludf.DUMMYFUNCTION("IMPORTRANGE(""https://docs.google.com/spreadsheets/d/11923uPwbBZFjjGgGUA6NLw09EwE0CqkOc4q9oUmW1yo/edit?usp=sharing"",""น่าน!M356"")"),0)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IFERROR(__xludf.DUMMYFUNCTION("IMPORTRANGE(""https://docs.google.com/spreadsheets/d/11923uPwbBZFjjGgGUA6NLw09EwE0CqkOc4q9oUmW1yo/edit?usp=sharing"",""น่าน!M357"")"),20516)</f>
        <v>20516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IFERROR(__xludf.DUMMYFUNCTION("IMPORTRANGE(""https://docs.google.com/spreadsheets/d/11923uPwbBZFjjGgGUA6NLw09EwE0CqkOc4q9oUmW1yo/edit?usp=sharing"",""น่าน!M358"")"),2480)</f>
        <v>2480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IFERROR(__xludf.DUMMYFUNCTION("IMPORTRANGE(""https://docs.google.com/spreadsheets/d/11923uPwbBZFjjGgGUA6NLw09EwE0CqkOc4q9oUmW1yo/edit?usp=sharing"",""น่าน!I359"")"),52202)</f>
        <v>52202</v>
      </c>
      <c r="J464" s="276">
        <f ca="1">IFERROR(__xludf.DUMMYFUNCTION("IMPORTRANGE(""https://docs.google.com/spreadsheets/d/11923uPwbBZFjjGgGUA6NLw09EwE0CqkOc4q9oUmW1yo/edit?usp=sharing"",""น่าน!J359"")"),0)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IFERROR(__xludf.DUMMYFUNCTION("IMPORTRANGE(""https://docs.google.com/spreadsheets/d/11923uPwbBZFjjGgGUA6NLw09EwE0CqkOc4q9oUmW1yo/edit?usp=sharing"",""น่าน!I360"")"),52202)</f>
        <v>52202</v>
      </c>
      <c r="J465" s="428">
        <f ca="1">IFERROR(__xludf.DUMMYFUNCTION("IMPORTRANGE(""https://docs.google.com/spreadsheets/d/11923uPwbBZFjjGgGUA6NLw09EwE0CqkOc4q9oUmW1yo/edit?usp=sharing"",""น่าน!J360"")"),33988)</f>
        <v>33988</v>
      </c>
      <c r="K465" s="211">
        <f t="shared" ca="1" si="117"/>
        <v>65.108616528102374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IFERROR(__xludf.DUMMYFUNCTION("IMPORTRANGE(""https://docs.google.com/spreadsheets/d/11923uPwbBZFjjGgGUA6NLw09EwE0CqkOc4q9oUmW1yo/edit?usp=sharing"",""น่าน!I361"")"),9077)</f>
        <v>9077</v>
      </c>
      <c r="J466" s="428">
        <f ca="1">IFERROR(__xludf.DUMMYFUNCTION("IMPORTRANGE(""https://docs.google.com/spreadsheets/d/11923uPwbBZFjjGgGUA6NLw09EwE0CqkOc4q9oUmW1yo/edit?usp=sharing"",""น่าน!J361"")"),5538)</f>
        <v>5538</v>
      </c>
      <c r="K466" s="211">
        <f t="shared" ca="1" si="117"/>
        <v>61.011347361463038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IFERROR(__xludf.DUMMYFUNCTION("IMPORTRANGE(""https://docs.google.com/spreadsheets/d/11923uPwbBZFjjGgGUA6NLw09EwE0CqkOc4q9oUmW1yo/edit?usp=sharing"",""น่าน!I362"")"),0)</f>
        <v>0</v>
      </c>
      <c r="J467" s="198">
        <f ca="1">IFERROR(__xludf.DUMMYFUNCTION("IMPORTRANGE(""https://docs.google.com/spreadsheets/d/11923uPwbBZFjjGgGUA6NLw09EwE0CqkOc4q9oUmW1yo/edit?usp=sharing"",""น่าน!J362"")"),32285)</f>
        <v>32285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IFERROR(__xludf.DUMMYFUNCTION("IMPORTRANGE(""https://docs.google.com/spreadsheets/d/11923uPwbBZFjjGgGUA6NLw09EwE0CqkOc4q9oUmW1yo/edit?usp=sharing"",""น่าน!I363"")"),0)</f>
        <v>0</v>
      </c>
      <c r="J468" s="198">
        <f ca="1">IFERROR(__xludf.DUMMYFUNCTION("IMPORTRANGE(""https://docs.google.com/spreadsheets/d/11923uPwbBZFjjGgGUA6NLw09EwE0CqkOc4q9oUmW1yo/edit?usp=sharing"",""น่าน!J363"")"),5362)</f>
        <v>5362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IFERROR(__xludf.DUMMYFUNCTION("IMPORTRANGE(""https://docs.google.com/spreadsheets/d/11923uPwbBZFjjGgGUA6NLw09EwE0CqkOc4q9oUmW1yo/edit?usp=sharing"",""น่าน!I364"")"),0)</f>
        <v>0</v>
      </c>
      <c r="J469" s="198">
        <f ca="1">IFERROR(__xludf.DUMMYFUNCTION("IMPORTRANGE(""https://docs.google.com/spreadsheets/d/11923uPwbBZFjjGgGUA6NLw09EwE0CqkOc4q9oUmW1yo/edit?usp=sharing"",""น่าน!J364"")"),1518)</f>
        <v>1518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IFERROR(__xludf.DUMMYFUNCTION("IMPORTRANGE(""https://docs.google.com/spreadsheets/d/11923uPwbBZFjjGgGUA6NLw09EwE0CqkOc4q9oUmW1yo/edit?usp=sharing"",""น่าน!I365"")"),0)</f>
        <v>0</v>
      </c>
      <c r="J470" s="198">
        <f ca="1">IFERROR(__xludf.DUMMYFUNCTION("IMPORTRANGE(""https://docs.google.com/spreadsheets/d/11923uPwbBZFjjGgGUA6NLw09EwE0CqkOc4q9oUmW1yo/edit?usp=sharing"",""น่าน!J365"")"),143)</f>
        <v>143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IFERROR(__xludf.DUMMYFUNCTION("IMPORTRANGE(""https://docs.google.com/spreadsheets/d/11923uPwbBZFjjGgGUA6NLw09EwE0CqkOc4q9oUmW1yo/edit?usp=sharing"",""น่าน!I366"")"),0)</f>
        <v>0</v>
      </c>
      <c r="J471" s="198">
        <f ca="1">IFERROR(__xludf.DUMMYFUNCTION("IMPORTRANGE(""https://docs.google.com/spreadsheets/d/11923uPwbBZFjjGgGUA6NLw09EwE0CqkOc4q9oUmW1yo/edit?usp=sharing"",""น่าน!J366"")"),185)</f>
        <v>185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IFERROR(__xludf.DUMMYFUNCTION("IMPORTRANGE(""https://docs.google.com/spreadsheets/d/11923uPwbBZFjjGgGUA6NLw09EwE0CqkOc4q9oUmW1yo/edit?usp=sharing"",""น่าน!I367"")"),0)</f>
        <v>0</v>
      </c>
      <c r="J472" s="198">
        <f ca="1">IFERROR(__xludf.DUMMYFUNCTION("IMPORTRANGE(""https://docs.google.com/spreadsheets/d/11923uPwbBZFjjGgGUA6NLw09EwE0CqkOc4q9oUmW1yo/edit?usp=sharing"",""น่าน!J367"")"),33)</f>
        <v>33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IFERROR(__xludf.DUMMYFUNCTION("IMPORTRANGE(""https://docs.google.com/spreadsheets/d/11923uPwbBZFjjGgGUA6NLw09EwE0CqkOc4q9oUmW1yo/edit?usp=sharing"",""น่าน!I368"")"),52202)</f>
        <v>52202</v>
      </c>
      <c r="J473" s="428">
        <f ca="1">IFERROR(__xludf.DUMMYFUNCTION("IMPORTRANGE(""https://docs.google.com/spreadsheets/d/11923uPwbBZFjjGgGUA6NLw09EwE0CqkOc4q9oUmW1yo/edit?usp=sharing"",""น่าน!J368"")"),0)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IFERROR(__xludf.DUMMYFUNCTION("IMPORTRANGE(""https://docs.google.com/spreadsheets/d/11923uPwbBZFjjGgGUA6NLw09EwE0CqkOc4q9oUmW1yo/edit?usp=sharing"",""น่าน!I369"")"),9077)</f>
        <v>9077</v>
      </c>
      <c r="J474" s="428">
        <f ca="1">IFERROR(__xludf.DUMMYFUNCTION("IMPORTRANGE(""https://docs.google.com/spreadsheets/d/11923uPwbBZFjjGgGUA6NLw09EwE0CqkOc4q9oUmW1yo/edit?usp=sharing"",""น่าน!J369"")"),0)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IFERROR(__xludf.DUMMYFUNCTION("IMPORTRANGE(""https://docs.google.com/spreadsheets/d/11923uPwbBZFjjGgGUA6NLw09EwE0CqkOc4q9oUmW1yo/edit?usp=sharing"",""น่าน!I370"")"),0)</f>
        <v>0</v>
      </c>
      <c r="J475" s="198">
        <f ca="1">IFERROR(__xludf.DUMMYFUNCTION("IMPORTRANGE(""https://docs.google.com/spreadsheets/d/11923uPwbBZFjjGgGUA6NLw09EwE0CqkOc4q9oUmW1yo/edit?usp=sharing"",""น่าน!J370"")"),0)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IFERROR(__xludf.DUMMYFUNCTION("IMPORTRANGE(""https://docs.google.com/spreadsheets/d/11923uPwbBZFjjGgGUA6NLw09EwE0CqkOc4q9oUmW1yo/edit?usp=sharing"",""น่าน!I371"")"),0)</f>
        <v>0</v>
      </c>
      <c r="J476" s="198">
        <f ca="1">IFERROR(__xludf.DUMMYFUNCTION("IMPORTRANGE(""https://docs.google.com/spreadsheets/d/11923uPwbBZFjjGgGUA6NLw09EwE0CqkOc4q9oUmW1yo/edit?usp=sharing"",""น่าน!J371"")"),0)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IFERROR(__xludf.DUMMYFUNCTION("IMPORTRANGE(""https://docs.google.com/spreadsheets/d/11923uPwbBZFjjGgGUA6NLw09EwE0CqkOc4q9oUmW1yo/edit?usp=sharing"",""น่าน!I372"")"),0)</f>
        <v>0</v>
      </c>
      <c r="J477" s="198">
        <f ca="1">IFERROR(__xludf.DUMMYFUNCTION("IMPORTRANGE(""https://docs.google.com/spreadsheets/d/11923uPwbBZFjjGgGUA6NLw09EwE0CqkOc4q9oUmW1yo/edit?usp=sharing"",""น่าน!J372"")"),0)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IFERROR(__xludf.DUMMYFUNCTION("IMPORTRANGE(""https://docs.google.com/spreadsheets/d/11923uPwbBZFjjGgGUA6NLw09EwE0CqkOc4q9oUmW1yo/edit?usp=sharing"",""น่าน!I373"")"),0)</f>
        <v>0</v>
      </c>
      <c r="J478" s="198">
        <f ca="1">IFERROR(__xludf.DUMMYFUNCTION("IMPORTRANGE(""https://docs.google.com/spreadsheets/d/11923uPwbBZFjjGgGUA6NLw09EwE0CqkOc4q9oUmW1yo/edit?usp=sharing"",""น่าน!J373"")"),0)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IFERROR(__xludf.DUMMYFUNCTION("IMPORTRANGE(""https://docs.google.com/spreadsheets/d/11923uPwbBZFjjGgGUA6NLw09EwE0CqkOc4q9oUmW1yo/edit?usp=sharing"",""น่าน!I374"")"),0)</f>
        <v>0</v>
      </c>
      <c r="J479" s="198">
        <f ca="1">IFERROR(__xludf.DUMMYFUNCTION("IMPORTRANGE(""https://docs.google.com/spreadsheets/d/11923uPwbBZFjjGgGUA6NLw09EwE0CqkOc4q9oUmW1yo/edit?usp=sharing"",""น่าน!J374"")"),0)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IFERROR(__xludf.DUMMYFUNCTION("IMPORTRANGE(""https://docs.google.com/spreadsheets/d/11923uPwbBZFjjGgGUA6NLw09EwE0CqkOc4q9oUmW1yo/edit?usp=sharing"",""น่าน!I375"")"),0)</f>
        <v>0</v>
      </c>
      <c r="J480" s="198">
        <f ca="1">IFERROR(__xludf.DUMMYFUNCTION("IMPORTRANGE(""https://docs.google.com/spreadsheets/d/11923uPwbBZFjjGgGUA6NLw09EwE0CqkOc4q9oUmW1yo/edit?usp=sharing"",""น่าน!J375"")"),0)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IFERROR(__xludf.DUMMYFUNCTION("IMPORTRANGE(""https://docs.google.com/spreadsheets/d/11923uPwbBZFjjGgGUA6NLw09EwE0CqkOc4q9oUmW1yo/edit?usp=sharing"",""น่าน!I376"")"),52202)</f>
        <v>52202</v>
      </c>
      <c r="J481" s="428">
        <f ca="1">IFERROR(__xludf.DUMMYFUNCTION("IMPORTRANGE(""https://docs.google.com/spreadsheets/d/11923uPwbBZFjjGgGUA6NLw09EwE0CqkOc4q9oUmW1yo/edit?usp=sharing"",""น่าน!J376"")"),0)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IFERROR(__xludf.DUMMYFUNCTION("IMPORTRANGE(""https://docs.google.com/spreadsheets/d/11923uPwbBZFjjGgGUA6NLw09EwE0CqkOc4q9oUmW1yo/edit?usp=sharing"",""น่าน!I377"")"),9077)</f>
        <v>9077</v>
      </c>
      <c r="J482" s="428">
        <f ca="1">IFERROR(__xludf.DUMMYFUNCTION("IMPORTRANGE(""https://docs.google.com/spreadsheets/d/11923uPwbBZFjjGgGUA6NLw09EwE0CqkOc4q9oUmW1yo/edit?usp=sharing"",""น่าน!J377"")"),0)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IFERROR(__xludf.DUMMYFUNCTION("IMPORTRANGE(""https://docs.google.com/spreadsheets/d/11923uPwbBZFjjGgGUA6NLw09EwE0CqkOc4q9oUmW1yo/edit?usp=sharing"",""น่าน!I378"")"),0)</f>
        <v>0</v>
      </c>
      <c r="J483" s="198">
        <f ca="1">IFERROR(__xludf.DUMMYFUNCTION("IMPORTRANGE(""https://docs.google.com/spreadsheets/d/11923uPwbBZFjjGgGUA6NLw09EwE0CqkOc4q9oUmW1yo/edit?usp=sharing"",""น่าน!J378"")"),0)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IFERROR(__xludf.DUMMYFUNCTION("IMPORTRANGE(""https://docs.google.com/spreadsheets/d/11923uPwbBZFjjGgGUA6NLw09EwE0CqkOc4q9oUmW1yo/edit?usp=sharing"",""น่าน!I379"")"),0)</f>
        <v>0</v>
      </c>
      <c r="J484" s="198">
        <f ca="1">IFERROR(__xludf.DUMMYFUNCTION("IMPORTRANGE(""https://docs.google.com/spreadsheets/d/11923uPwbBZFjjGgGUA6NLw09EwE0CqkOc4q9oUmW1yo/edit?usp=sharing"",""น่าน!J379"")"),0)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IFERROR(__xludf.DUMMYFUNCTION("IMPORTRANGE(""https://docs.google.com/spreadsheets/d/11923uPwbBZFjjGgGUA6NLw09EwE0CqkOc4q9oUmW1yo/edit?usp=sharing"",""น่าน!I380"")"),0)</f>
        <v>0</v>
      </c>
      <c r="J485" s="198">
        <f ca="1">IFERROR(__xludf.DUMMYFUNCTION("IMPORTRANGE(""https://docs.google.com/spreadsheets/d/11923uPwbBZFjjGgGUA6NLw09EwE0CqkOc4q9oUmW1yo/edit?usp=sharing"",""น่าน!J380"")"),0)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IFERROR(__xludf.DUMMYFUNCTION("IMPORTRANGE(""https://docs.google.com/spreadsheets/d/11923uPwbBZFjjGgGUA6NLw09EwE0CqkOc4q9oUmW1yo/edit?usp=sharing"",""น่าน!I381"")"),0)</f>
        <v>0</v>
      </c>
      <c r="J486" s="198">
        <f ca="1">IFERROR(__xludf.DUMMYFUNCTION("IMPORTRANGE(""https://docs.google.com/spreadsheets/d/11923uPwbBZFjjGgGUA6NLw09EwE0CqkOc4q9oUmW1yo/edit?usp=sharing"",""น่าน!J381"")"),0)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IFERROR(__xludf.DUMMYFUNCTION("IMPORTRANGE(""https://docs.google.com/spreadsheets/d/11923uPwbBZFjjGgGUA6NLw09EwE0CqkOc4q9oUmW1yo/edit?usp=sharing"",""น่าน!I382"")"),0)</f>
        <v>0</v>
      </c>
      <c r="J487" s="428">
        <f ca="1">IFERROR(__xludf.DUMMYFUNCTION("IMPORTRANGE(""https://docs.google.com/spreadsheets/d/11923uPwbBZFjjGgGUA6NLw09EwE0CqkOc4q9oUmW1yo/edit?usp=sharing"",""น่าน!J382"")"),0)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IFERROR(__xludf.DUMMYFUNCTION("IMPORTRANGE(""https://docs.google.com/spreadsheets/d/11923uPwbBZFjjGgGUA6NLw09EwE0CqkOc4q9oUmW1yo/edit?usp=sharing"",""น่าน!I383"")"),0)</f>
        <v>0</v>
      </c>
      <c r="J488" s="428">
        <f ca="1">IFERROR(__xludf.DUMMYFUNCTION("IMPORTRANGE(""https://docs.google.com/spreadsheets/d/11923uPwbBZFjjGgGUA6NLw09EwE0CqkOc4q9oUmW1yo/edit?usp=sharing"",""น่าน!J383"")"),0)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IFERROR(__xludf.DUMMYFUNCTION("IMPORTRANGE(""https://docs.google.com/spreadsheets/d/11923uPwbBZFjjGgGUA6NLw09EwE0CqkOc4q9oUmW1yo/edit?usp=sharing"",""น่าน!I384"")"),0)</f>
        <v>0</v>
      </c>
      <c r="J489" s="198">
        <f ca="1">IFERROR(__xludf.DUMMYFUNCTION("IMPORTRANGE(""https://docs.google.com/spreadsheets/d/11923uPwbBZFjjGgGUA6NLw09EwE0CqkOc4q9oUmW1yo/edit?usp=sharing"",""น่าน!J384"")"),0)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IFERROR(__xludf.DUMMYFUNCTION("IMPORTRANGE(""https://docs.google.com/spreadsheets/d/11923uPwbBZFjjGgGUA6NLw09EwE0CqkOc4q9oUmW1yo/edit?usp=sharing"",""น่าน!I385"")"),0)</f>
        <v>0</v>
      </c>
      <c r="J490" s="198">
        <f ca="1">IFERROR(__xludf.DUMMYFUNCTION("IMPORTRANGE(""https://docs.google.com/spreadsheets/d/11923uPwbBZFjjGgGUA6NLw09EwE0CqkOc4q9oUmW1yo/edit?usp=sharing"",""น่าน!J385"")"),0)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IFERROR(__xludf.DUMMYFUNCTION("IMPORTRANGE(""https://docs.google.com/spreadsheets/d/11923uPwbBZFjjGgGUA6NLw09EwE0CqkOc4q9oUmW1yo/edit?usp=sharing"",""น่าน!I386"")"),0)</f>
        <v>0</v>
      </c>
      <c r="J491" s="198">
        <f ca="1">IFERROR(__xludf.DUMMYFUNCTION("IMPORTRANGE(""https://docs.google.com/spreadsheets/d/11923uPwbBZFjjGgGUA6NLw09EwE0CqkOc4q9oUmW1yo/edit?usp=sharing"",""น่าน!J386"")"),0)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IFERROR(__xludf.DUMMYFUNCTION("IMPORTRANGE(""https://docs.google.com/spreadsheets/d/11923uPwbBZFjjGgGUA6NLw09EwE0CqkOc4q9oUmW1yo/edit?usp=sharing"",""น่าน!I387"")"),0)</f>
        <v>0</v>
      </c>
      <c r="J492" s="198">
        <f ca="1">IFERROR(__xludf.DUMMYFUNCTION("IMPORTRANGE(""https://docs.google.com/spreadsheets/d/11923uPwbBZFjjGgGUA6NLw09EwE0CqkOc4q9oUmW1yo/edit?usp=sharing"",""น่าน!J387"")"),0)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IFERROR(__xludf.DUMMYFUNCTION("IMPORTRANGE(""https://docs.google.com/spreadsheets/d/11923uPwbBZFjjGgGUA6NLw09EwE0CqkOc4q9oUmW1yo/edit?usp=sharing"",""น่าน!I388"")"),0)</f>
        <v>0</v>
      </c>
      <c r="J493" s="198">
        <f ca="1">IFERROR(__xludf.DUMMYFUNCTION("IMPORTRANGE(""https://docs.google.com/spreadsheets/d/11923uPwbBZFjjGgGUA6NLw09EwE0CqkOc4q9oUmW1yo/edit?usp=sharing"",""น่าน!J388"")"),0)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IFERROR(__xludf.DUMMYFUNCTION("IMPORTRANGE(""https://docs.google.com/spreadsheets/d/11923uPwbBZFjjGgGUA6NLw09EwE0CqkOc4q9oUmW1yo/edit?usp=sharing"",""น่าน!I389"")"),0)</f>
        <v>0</v>
      </c>
      <c r="J494" s="444">
        <f ca="1">IFERROR(__xludf.DUMMYFUNCTION("IMPORTRANGE(""https://docs.google.com/spreadsheets/d/11923uPwbBZFjjGgGUA6NLw09EwE0CqkOc4q9oUmW1yo/edit?usp=sharing"",""น่าน!J389"")"),0)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IFERROR(__xludf.DUMMYFUNCTION("IMPORTRANGE(""https://docs.google.com/spreadsheets/d/11923uPwbBZFjjGgGUA6NLw09EwE0CqkOc4q9oUmW1yo/edit?usp=sharing"",""น่าน!I390"")"),0)</f>
        <v>0</v>
      </c>
      <c r="J495" s="444">
        <f ca="1">IFERROR(__xludf.DUMMYFUNCTION("IMPORTRANGE(""https://docs.google.com/spreadsheets/d/11923uPwbBZFjjGgGUA6NLw09EwE0CqkOc4q9oUmW1yo/edit?usp=sharing"",""น่าน!J390"")"),0)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IFERROR(__xludf.DUMMYFUNCTION("IMPORTRANGE(""https://docs.google.com/spreadsheets/d/11923uPwbBZFjjGgGUA6NLw09EwE0CqkOc4q9oUmW1yo/edit?usp=sharing"",""น่าน!I391"")"),0)</f>
        <v>0</v>
      </c>
      <c r="J496" s="444">
        <f ca="1">IFERROR(__xludf.DUMMYFUNCTION("IMPORTRANGE(""https://docs.google.com/spreadsheets/d/11923uPwbBZFjjGgGUA6NLw09EwE0CqkOc4q9oUmW1yo/edit?usp=sharing"",""น่าน!J391"")"),0)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IFERROR(__xludf.DUMMYFUNCTION("IMPORTRANGE(""https://docs.google.com/spreadsheets/d/11923uPwbBZFjjGgGUA6NLw09EwE0CqkOc4q9oUmW1yo/edit?usp=sharing"",""น่าน!I392"")"),535)</f>
        <v>535</v>
      </c>
      <c r="J497" s="451">
        <f ca="1">IFERROR(__xludf.DUMMYFUNCTION("IMPORTRANGE(""https://docs.google.com/spreadsheets/d/11923uPwbBZFjjGgGUA6NLw09EwE0CqkOc4q9oUmW1yo/edit?usp=sharing"",""น่าน!J392"")"),0)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IFERROR(__xludf.DUMMYFUNCTION("IMPORTRANGE(""https://docs.google.com/spreadsheets/d/11923uPwbBZFjjGgGUA6NLw09EwE0CqkOc4q9oUmW1yo/edit?usp=sharing"",""น่าน!I393"")"),535)</f>
        <v>535</v>
      </c>
      <c r="J498" s="428">
        <f ca="1">IFERROR(__xludf.DUMMYFUNCTION("IMPORTRANGE(""https://docs.google.com/spreadsheets/d/11923uPwbBZFjjGgGUA6NLw09EwE0CqkOc4q9oUmW1yo/edit?usp=sharing"",""น่าน!J393"")"),0)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IFERROR(__xludf.DUMMYFUNCTION("IMPORTRANGE(""https://docs.google.com/spreadsheets/d/11923uPwbBZFjjGgGUA6NLw09EwE0CqkOc4q9oUmW1yo/edit?usp=sharing"",""น่าน!I394"")"),174)</f>
        <v>174</v>
      </c>
      <c r="J499" s="428">
        <f ca="1">IFERROR(__xludf.DUMMYFUNCTION("IMPORTRANGE(""https://docs.google.com/spreadsheets/d/11923uPwbBZFjjGgGUA6NLw09EwE0CqkOc4q9oUmW1yo/edit?usp=sharing"",""น่าน!J394"")"),0)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IFERROR(__xludf.DUMMYFUNCTION("IMPORTRANGE(""https://docs.google.com/spreadsheets/d/11923uPwbBZFjjGgGUA6NLw09EwE0CqkOc4q9oUmW1yo/edit?usp=sharing"",""น่าน!I395"")"),0)</f>
        <v>0</v>
      </c>
      <c r="J500" s="170">
        <f ca="1">IFERROR(__xludf.DUMMYFUNCTION("IMPORTRANGE(""https://docs.google.com/spreadsheets/d/11923uPwbBZFjjGgGUA6NLw09EwE0CqkOc4q9oUmW1yo/edit?usp=sharing"",""น่าน!J395"")"),0)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IFERROR(__xludf.DUMMYFUNCTION("IMPORTRANGE(""https://docs.google.com/spreadsheets/d/11923uPwbBZFjjGgGUA6NLw09EwE0CqkOc4q9oUmW1yo/edit?usp=sharing"",""น่าน!I396"")"),0)</f>
        <v>0</v>
      </c>
      <c r="J501" s="170">
        <f ca="1">IFERROR(__xludf.DUMMYFUNCTION("IMPORTRANGE(""https://docs.google.com/spreadsheets/d/11923uPwbBZFjjGgGUA6NLw09EwE0CqkOc4q9oUmW1yo/edit?usp=sharing"",""น่าน!J396"")"),0)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IFERROR(__xludf.DUMMYFUNCTION("IMPORTRANGE(""https://docs.google.com/spreadsheets/d/11923uPwbBZFjjGgGUA6NLw09EwE0CqkOc4q9oUmW1yo/edit?usp=sharing"",""น่าน!I397"")"),0)</f>
        <v>0</v>
      </c>
      <c r="J502" s="198">
        <f ca="1">IFERROR(__xludf.DUMMYFUNCTION("IMPORTRANGE(""https://docs.google.com/spreadsheets/d/11923uPwbBZFjjGgGUA6NLw09EwE0CqkOc4q9oUmW1yo/edit?usp=sharing"",""น่าน!J397"")"),0)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IFERROR(__xludf.DUMMYFUNCTION("IMPORTRANGE(""https://docs.google.com/spreadsheets/d/11923uPwbBZFjjGgGUA6NLw09EwE0CqkOc4q9oUmW1yo/edit?usp=sharing"",""น่าน!I398"")"),0)</f>
        <v>0</v>
      </c>
      <c r="J503" s="207">
        <f ca="1">IFERROR(__xludf.DUMMYFUNCTION("IMPORTRANGE(""https://docs.google.com/spreadsheets/d/11923uPwbBZFjjGgGUA6NLw09EwE0CqkOc4q9oUmW1yo/edit?usp=sharing"",""น่าน!J398"")"),0)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IFERROR(__xludf.DUMMYFUNCTION("IMPORTRANGE(""https://docs.google.com/spreadsheets/d/11923uPwbBZFjjGgGUA6NLw09EwE0CqkOc4q9oUmW1yo/edit?usp=sharing"",""น่าน!I399"")"),0)</f>
        <v>0</v>
      </c>
      <c r="J504" s="198">
        <f ca="1">IFERROR(__xludf.DUMMYFUNCTION("IMPORTRANGE(""https://docs.google.com/spreadsheets/d/11923uPwbBZFjjGgGUA6NLw09EwE0CqkOc4q9oUmW1yo/edit?usp=sharing"",""น่าน!J399"")"),0)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IFERROR(__xludf.DUMMYFUNCTION("IMPORTRANGE(""https://docs.google.com/spreadsheets/d/11923uPwbBZFjjGgGUA6NLw09EwE0CqkOc4q9oUmW1yo/edit?usp=sharing"",""น่าน!I400"")"),0)</f>
        <v>0</v>
      </c>
      <c r="J505" s="207">
        <f ca="1">IFERROR(__xludf.DUMMYFUNCTION("IMPORTRANGE(""https://docs.google.com/spreadsheets/d/11923uPwbBZFjjGgGUA6NLw09EwE0CqkOc4q9oUmW1yo/edit?usp=sharing"",""น่าน!J400"")"),0)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IFERROR(__xludf.DUMMYFUNCTION("IMPORTRANGE(""https://docs.google.com/spreadsheets/d/11923uPwbBZFjjGgGUA6NLw09EwE0CqkOc4q9oUmW1yo/edit?usp=sharing"",""น่าน!I401"")"),0)</f>
        <v>0</v>
      </c>
      <c r="J506" s="198">
        <f ca="1">IFERROR(__xludf.DUMMYFUNCTION("IMPORTRANGE(""https://docs.google.com/spreadsheets/d/11923uPwbBZFjjGgGUA6NLw09EwE0CqkOc4q9oUmW1yo/edit?usp=sharing"",""น่าน!J401"")"),0)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IFERROR(__xludf.DUMMYFUNCTION("IMPORTRANGE(""https://docs.google.com/spreadsheets/d/11923uPwbBZFjjGgGUA6NLw09EwE0CqkOc4q9oUmW1yo/edit?usp=sharing"",""น่าน!I402"")"),0)</f>
        <v>0</v>
      </c>
      <c r="J507" s="207">
        <f ca="1">IFERROR(__xludf.DUMMYFUNCTION("IMPORTRANGE(""https://docs.google.com/spreadsheets/d/11923uPwbBZFjjGgGUA6NLw09EwE0CqkOc4q9oUmW1yo/edit?usp=sharing"",""น่าน!J402"")"),0)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IFERROR(__xludf.DUMMYFUNCTION("IMPORTRANGE(""https://docs.google.com/spreadsheets/d/11923uPwbBZFjjGgGUA6NLw09EwE0CqkOc4q9oUmW1yo/edit?usp=sharing"",""น่าน!I403"")"),0)</f>
        <v>0</v>
      </c>
      <c r="J508" s="170">
        <f ca="1">IFERROR(__xludf.DUMMYFUNCTION("IMPORTRANGE(""https://docs.google.com/spreadsheets/d/11923uPwbBZFjjGgGUA6NLw09EwE0CqkOc4q9oUmW1yo/edit?usp=sharing"",""น่าน!J403"")"),0)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IFERROR(__xludf.DUMMYFUNCTION("IMPORTRANGE(""https://docs.google.com/spreadsheets/d/11923uPwbBZFjjGgGUA6NLw09EwE0CqkOc4q9oUmW1yo/edit?usp=sharing"",""น่าน!I404"")"),0)</f>
        <v>0</v>
      </c>
      <c r="J509" s="170">
        <f ca="1">IFERROR(__xludf.DUMMYFUNCTION("IMPORTRANGE(""https://docs.google.com/spreadsheets/d/11923uPwbBZFjjGgGUA6NLw09EwE0CqkOc4q9oUmW1yo/edit?usp=sharing"",""น่าน!J404"")"),0)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IFERROR(__xludf.DUMMYFUNCTION("IMPORTRANGE(""https://docs.google.com/spreadsheets/d/11923uPwbBZFjjGgGUA6NLw09EwE0CqkOc4q9oUmW1yo/edit?usp=sharing"",""น่าน!I405"")"),0)</f>
        <v>0</v>
      </c>
      <c r="J510" s="207">
        <f ca="1">IFERROR(__xludf.DUMMYFUNCTION("IMPORTRANGE(""https://docs.google.com/spreadsheets/d/11923uPwbBZFjjGgGUA6NLw09EwE0CqkOc4q9oUmW1yo/edit?usp=sharing"",""น่าน!J405"")"),0)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IFERROR(__xludf.DUMMYFUNCTION("IMPORTRANGE(""https://docs.google.com/spreadsheets/d/11923uPwbBZFjjGgGUA6NLw09EwE0CqkOc4q9oUmW1yo/edit?usp=sharing"",""น่าน!I406"")"),0)</f>
        <v>0</v>
      </c>
      <c r="J511" s="207">
        <f ca="1">IFERROR(__xludf.DUMMYFUNCTION("IMPORTRANGE(""https://docs.google.com/spreadsheets/d/11923uPwbBZFjjGgGUA6NLw09EwE0CqkOc4q9oUmW1yo/edit?usp=sharing"",""น่าน!J406"")"),0)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IFERROR(__xludf.DUMMYFUNCTION("IMPORTRANGE(""https://docs.google.com/spreadsheets/d/11923uPwbBZFjjGgGUA6NLw09EwE0CqkOc4q9oUmW1yo/edit?usp=sharing"",""น่าน!I407"")"),0)</f>
        <v>0</v>
      </c>
      <c r="J512" s="207">
        <f ca="1">IFERROR(__xludf.DUMMYFUNCTION("IMPORTRANGE(""https://docs.google.com/spreadsheets/d/11923uPwbBZFjjGgGUA6NLw09EwE0CqkOc4q9oUmW1yo/edit?usp=sharing"",""น่าน!J407"")"),0)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IFERROR(__xludf.DUMMYFUNCTION("IMPORTRANGE(""https://docs.google.com/spreadsheets/d/11923uPwbBZFjjGgGUA6NLw09EwE0CqkOc4q9oUmW1yo/edit?usp=sharing"",""น่าน!I408"")"),0)</f>
        <v>0</v>
      </c>
      <c r="J513" s="207">
        <f ca="1">IFERROR(__xludf.DUMMYFUNCTION("IMPORTRANGE(""https://docs.google.com/spreadsheets/d/11923uPwbBZFjjGgGUA6NLw09EwE0CqkOc4q9oUmW1yo/edit?usp=sharing"",""น่าน!J408"")"),0)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IFERROR(__xludf.DUMMYFUNCTION("IMPORTRANGE(""https://docs.google.com/spreadsheets/d/11923uPwbBZFjjGgGUA6NLw09EwE0CqkOc4q9oUmW1yo/edit?usp=sharing"",""น่าน!I409"")"),0)</f>
        <v>0</v>
      </c>
      <c r="J514" s="207">
        <f ca="1">IFERROR(__xludf.DUMMYFUNCTION("IMPORTRANGE(""https://docs.google.com/spreadsheets/d/11923uPwbBZFjjGgGUA6NLw09EwE0CqkOc4q9oUmW1yo/edit?usp=sharing"",""น่าน!J409"")"),0)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IFERROR(__xludf.DUMMYFUNCTION("IMPORTRANGE(""https://docs.google.com/spreadsheets/d/11923uPwbBZFjjGgGUA6NLw09EwE0CqkOc4q9oUmW1yo/edit?usp=sharing"",""น่าน!I410"")"),0)</f>
        <v>0</v>
      </c>
      <c r="J515" s="207">
        <f ca="1">IFERROR(__xludf.DUMMYFUNCTION("IMPORTRANGE(""https://docs.google.com/spreadsheets/d/11923uPwbBZFjjGgGUA6NLw09EwE0CqkOc4q9oUmW1yo/edit?usp=sharing"",""น่าน!J410"")"),0)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IFERROR(__xludf.DUMMYFUNCTION("IMPORTRANGE(""https://docs.google.com/spreadsheets/d/11923uPwbBZFjjGgGUA6NLw09EwE0CqkOc4q9oUmW1yo/edit?usp=sharing"",""น่าน!I411"")"),0)</f>
        <v>0</v>
      </c>
      <c r="J516" s="276">
        <f ca="1">IFERROR(__xludf.DUMMYFUNCTION("IMPORTRANGE(""https://docs.google.com/spreadsheets/d/11923uPwbBZFjjGgGUA6NLw09EwE0CqkOc4q9oUmW1yo/edit?usp=sharing"",""น่าน!J411"")"),0)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IFERROR(__xludf.DUMMYFUNCTION("IMPORTRANGE(""https://docs.google.com/spreadsheets/d/11923uPwbBZFjjGgGUA6NLw09EwE0CqkOc4q9oUmW1yo/edit?usp=sharing"",""น่าน!I412"")"),0)</f>
        <v>0</v>
      </c>
      <c r="J517" s="292">
        <f ca="1">IFERROR(__xludf.DUMMYFUNCTION("IMPORTRANGE(""https://docs.google.com/spreadsheets/d/11923uPwbBZFjjGgGUA6NLw09EwE0CqkOc4q9oUmW1yo/edit?usp=sharing"",""น่าน!J412"")"),0)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IFERROR(__xludf.DUMMYFUNCTION("IMPORTRANGE(""https://docs.google.com/spreadsheets/d/11923uPwbBZFjjGgGUA6NLw09EwE0CqkOc4q9oUmW1yo/edit?usp=sharing"",""น่าน!I413"")"),0)</f>
        <v>0</v>
      </c>
      <c r="J518" s="292">
        <f ca="1">IFERROR(__xludf.DUMMYFUNCTION("IMPORTRANGE(""https://docs.google.com/spreadsheets/d/11923uPwbBZFjjGgGUA6NLw09EwE0CqkOc4q9oUmW1yo/edit?usp=sharing"",""น่าน!J413"")"),0)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IFERROR(__xludf.DUMMYFUNCTION("IMPORTRANGE(""https://docs.google.com/spreadsheets/d/11923uPwbBZFjjGgGUA6NLw09EwE0CqkOc4q9oUmW1yo/edit?usp=sharing"",""น่าน!I414"")"),0)</f>
        <v>0</v>
      </c>
      <c r="J519" s="197">
        <f ca="1">IFERROR(__xludf.DUMMYFUNCTION("IMPORTRANGE(""https://docs.google.com/spreadsheets/d/11923uPwbBZFjjGgGUA6NLw09EwE0CqkOc4q9oUmW1yo/edit?usp=sharing"",""น่าน!J414"")"),0)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IFERROR(__xludf.DUMMYFUNCTION("IMPORTRANGE(""https://docs.google.com/spreadsheets/d/11923uPwbBZFjjGgGUA6NLw09EwE0CqkOc4q9oUmW1yo/edit?usp=sharing"",""น่าน!I415"")"),0)</f>
        <v>0</v>
      </c>
      <c r="J520" s="197">
        <f ca="1">IFERROR(__xludf.DUMMYFUNCTION("IMPORTRANGE(""https://docs.google.com/spreadsheets/d/11923uPwbBZFjjGgGUA6NLw09EwE0CqkOc4q9oUmW1yo/edit?usp=sharing"",""น่าน!J415"")"),0)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IFERROR(__xludf.DUMMYFUNCTION("IMPORTRANGE(""https://docs.google.com/spreadsheets/d/11923uPwbBZFjjGgGUA6NLw09EwE0CqkOc4q9oUmW1yo/edit?usp=sharing"",""น่าน!I416"")"),0)</f>
        <v>0</v>
      </c>
      <c r="J521" s="197">
        <f ca="1">IFERROR(__xludf.DUMMYFUNCTION("IMPORTRANGE(""https://docs.google.com/spreadsheets/d/11923uPwbBZFjjGgGUA6NLw09EwE0CqkOc4q9oUmW1yo/edit?usp=sharing"",""น่าน!J416"")"),0)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IFERROR(__xludf.DUMMYFUNCTION("IMPORTRANGE(""https://docs.google.com/spreadsheets/d/11923uPwbBZFjjGgGUA6NLw09EwE0CqkOc4q9oUmW1yo/edit?usp=sharing"",""น่าน!I417"")"),0)</f>
        <v>0</v>
      </c>
      <c r="J522" s="197">
        <f ca="1">IFERROR(__xludf.DUMMYFUNCTION("IMPORTRANGE(""https://docs.google.com/spreadsheets/d/11923uPwbBZFjjGgGUA6NLw09EwE0CqkOc4q9oUmW1yo/edit?usp=sharing"",""น่าน!J417"")"),0)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IFERROR(__xludf.DUMMYFUNCTION("IMPORTRANGE(""https://docs.google.com/spreadsheets/d/11923uPwbBZFjjGgGUA6NLw09EwE0CqkOc4q9oUmW1yo/edit?usp=sharing"",""น่าน!I418"")"),0)</f>
        <v>0</v>
      </c>
      <c r="J523" s="197">
        <f ca="1">IFERROR(__xludf.DUMMYFUNCTION("IMPORTRANGE(""https://docs.google.com/spreadsheets/d/11923uPwbBZFjjGgGUA6NLw09EwE0CqkOc4q9oUmW1yo/edit?usp=sharing"",""น่าน!J418"")"),0)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IFERROR(__xludf.DUMMYFUNCTION("IMPORTRANGE(""https://docs.google.com/spreadsheets/d/11923uPwbBZFjjGgGUA6NLw09EwE0CqkOc4q9oUmW1yo/edit?usp=sharing"",""น่าน!I419"")"),0)</f>
        <v>0</v>
      </c>
      <c r="J524" s="197">
        <f ca="1">IFERROR(__xludf.DUMMYFUNCTION("IMPORTRANGE(""https://docs.google.com/spreadsheets/d/11923uPwbBZFjjGgGUA6NLw09EwE0CqkOc4q9oUmW1yo/edit?usp=sharing"",""น่าน!J419"")"),0)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IFERROR(__xludf.DUMMYFUNCTION("IMPORTRANGE(""https://docs.google.com/spreadsheets/d/11923uPwbBZFjjGgGUA6NLw09EwE0CqkOc4q9oUmW1yo/edit?usp=sharing"",""น่าน!I420"")"),0)</f>
        <v>0</v>
      </c>
      <c r="J525" s="292">
        <f ca="1">IFERROR(__xludf.DUMMYFUNCTION("IMPORTRANGE(""https://docs.google.com/spreadsheets/d/11923uPwbBZFjjGgGUA6NLw09EwE0CqkOc4q9oUmW1yo/edit?usp=sharing"",""น่าน!J420"")"),0)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IFERROR(__xludf.DUMMYFUNCTION("IMPORTRANGE(""https://docs.google.com/spreadsheets/d/11923uPwbBZFjjGgGUA6NLw09EwE0CqkOc4q9oUmW1yo/edit?usp=sharing"",""น่าน!I421"")"),0)</f>
        <v>0</v>
      </c>
      <c r="J526" s="292">
        <f ca="1">IFERROR(__xludf.DUMMYFUNCTION("IMPORTRANGE(""https://docs.google.com/spreadsheets/d/11923uPwbBZFjjGgGUA6NLw09EwE0CqkOc4q9oUmW1yo/edit?usp=sharing"",""น่าน!J421"")"),0)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IFERROR(__xludf.DUMMYFUNCTION("IMPORTRANGE(""https://docs.google.com/spreadsheets/d/11923uPwbBZFjjGgGUA6NLw09EwE0CqkOc4q9oUmW1yo/edit?usp=sharing"",""น่าน!I422"")"),0)</f>
        <v>0</v>
      </c>
      <c r="J527" s="207">
        <f ca="1">IFERROR(__xludf.DUMMYFUNCTION("IMPORTRANGE(""https://docs.google.com/spreadsheets/d/11923uPwbBZFjjGgGUA6NLw09EwE0CqkOc4q9oUmW1yo/edit?usp=sharing"",""น่าน!J422"")"),0)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IFERROR(__xludf.DUMMYFUNCTION("IMPORTRANGE(""https://docs.google.com/spreadsheets/d/11923uPwbBZFjjGgGUA6NLw09EwE0CqkOc4q9oUmW1yo/edit?usp=sharing"",""น่าน!I423"")"),0)</f>
        <v>0</v>
      </c>
      <c r="J528" s="207">
        <f ca="1">IFERROR(__xludf.DUMMYFUNCTION("IMPORTRANGE(""https://docs.google.com/spreadsheets/d/11923uPwbBZFjjGgGUA6NLw09EwE0CqkOc4q9oUmW1yo/edit?usp=sharing"",""น่าน!J423"")"),0)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IFERROR(__xludf.DUMMYFUNCTION("IMPORTRANGE(""https://docs.google.com/spreadsheets/d/11923uPwbBZFjjGgGUA6NLw09EwE0CqkOc4q9oUmW1yo/edit?usp=sharing"",""น่าน!I424"")"),0)</f>
        <v>0</v>
      </c>
      <c r="J529" s="207">
        <f ca="1">IFERROR(__xludf.DUMMYFUNCTION("IMPORTRANGE(""https://docs.google.com/spreadsheets/d/11923uPwbBZFjjGgGUA6NLw09EwE0CqkOc4q9oUmW1yo/edit?usp=sharing"",""น่าน!J424"")"),0)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IFERROR(__xludf.DUMMYFUNCTION("IMPORTRANGE(""https://docs.google.com/spreadsheets/d/11923uPwbBZFjjGgGUA6NLw09EwE0CqkOc4q9oUmW1yo/edit?usp=sharing"",""น่าน!I425"")"),0)</f>
        <v>0</v>
      </c>
      <c r="J530" s="207">
        <f ca="1">IFERROR(__xludf.DUMMYFUNCTION("IMPORTRANGE(""https://docs.google.com/spreadsheets/d/11923uPwbBZFjjGgGUA6NLw09EwE0CqkOc4q9oUmW1yo/edit?usp=sharing"",""น่าน!J425"")"),0)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IFERROR(__xludf.DUMMYFUNCTION("IMPORTRANGE(""https://docs.google.com/spreadsheets/d/11923uPwbBZFjjGgGUA6NLw09EwE0CqkOc4q9oUmW1yo/edit?usp=sharing"",""น่าน!I426"")"),0)</f>
        <v>0</v>
      </c>
      <c r="J531" s="207">
        <f ca="1">IFERROR(__xludf.DUMMYFUNCTION("IMPORTRANGE(""https://docs.google.com/spreadsheets/d/11923uPwbBZFjjGgGUA6NLw09EwE0CqkOc4q9oUmW1yo/edit?usp=sharing"",""น่าน!J426"")"),0)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IFERROR(__xludf.DUMMYFUNCTION("IMPORTRANGE(""https://docs.google.com/spreadsheets/d/11923uPwbBZFjjGgGUA6NLw09EwE0CqkOc4q9oUmW1yo/edit?usp=sharing"",""น่าน!I427"")"),0)</f>
        <v>0</v>
      </c>
      <c r="J532" s="474">
        <f ca="1">IFERROR(__xludf.DUMMYFUNCTION("IMPORTRANGE(""https://docs.google.com/spreadsheets/d/11923uPwbBZFjjGgGUA6NLw09EwE0CqkOc4q9oUmW1yo/edit?usp=sharing"",""น่าน!J427"")"),0)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IFERROR(__xludf.DUMMYFUNCTION("IMPORTRANGE(""https://docs.google.com/spreadsheets/d/11923uPwbBZFjjGgGUA6NLw09EwE0CqkOc4q9oUmW1yo/edit?usp=sharing"",""น่าน!I428"")"),22)</f>
        <v>22</v>
      </c>
      <c r="J533" s="418">
        <f ca="1">IFERROR(__xludf.DUMMYFUNCTION("IMPORTRANGE(""https://docs.google.com/spreadsheets/d/11923uPwbBZFjjGgGUA6NLw09EwE0CqkOc4q9oUmW1yo/edit?usp=sharing"",""น่าน!J428"")"),22)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IFERROR(__xludf.DUMMYFUNCTION("IMPORTRANGE(""https://docs.google.com/spreadsheets/d/11923uPwbBZFjjGgGUA6NLw09EwE0CqkOc4q9oUmW1yo/edit?usp=sharing"",""น่าน!L428"")"),34340)</f>
        <v>34340</v>
      </c>
      <c r="M533" s="420"/>
      <c r="N533" s="420">
        <f ca="1">IFERROR(__xludf.DUMMYFUNCTION("IMPORTRANGE(""https://docs.google.com/spreadsheets/d/11923uPwbBZFjjGgGUA6NLw09EwE0CqkOc4q9oUmW1yo/edit?usp=sharing"",""น่าน!M428"")"),26576)</f>
        <v>26576</v>
      </c>
      <c r="O533" s="420">
        <f t="shared" ref="O533:O537" ca="1" si="118">+IF(L533&gt;0,N533*100/L533,0)</f>
        <v>77.390797903319751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IFERROR(__xludf.DUMMYFUNCTION("IMPORTRANGE(""https://docs.google.com/spreadsheets/d/11923uPwbBZFjjGgGUA6NLw09EwE0CqkOc4q9oUmW1yo/edit?usp=sharing"",""น่าน!L429"")"),0)</f>
        <v>0</v>
      </c>
      <c r="M534" s="172"/>
      <c r="N534" s="178">
        <f ca="1">IFERROR(__xludf.DUMMYFUNCTION("IMPORTRANGE(""https://docs.google.com/spreadsheets/d/11923uPwbBZFjjGgGUA6NLw09EwE0CqkOc4q9oUmW1yo/edit?usp=sharing"",""น่าน!M429"")"),0)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IFERROR(__xludf.DUMMYFUNCTION("IMPORTRANGE(""https://docs.google.com/spreadsheets/d/11923uPwbBZFjjGgGUA6NLw09EwE0CqkOc4q9oUmW1yo/edit?usp=sharing"",""น่าน!L430"")"),34340)</f>
        <v>34340</v>
      </c>
      <c r="M535" s="173"/>
      <c r="N535" s="178">
        <f ca="1">IFERROR(__xludf.DUMMYFUNCTION("IMPORTRANGE(""https://docs.google.com/spreadsheets/d/11923uPwbBZFjjGgGUA6NLw09EwE0CqkOc4q9oUmW1yo/edit?usp=sharing"",""น่าน!M430"")"),26576)</f>
        <v>26576</v>
      </c>
      <c r="O535" s="178">
        <f t="shared" ca="1" si="118"/>
        <v>77.390797903319751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IFERROR(__xludf.DUMMYFUNCTION("IMPORTRANGE(""https://docs.google.com/spreadsheets/d/11923uPwbBZFjjGgGUA6NLw09EwE0CqkOc4q9oUmW1yo/edit?usp=sharing"",""น่าน!L431"")"),0)</f>
        <v>0</v>
      </c>
      <c r="M536" s="178"/>
      <c r="N536" s="178">
        <f ca="1">IFERROR(__xludf.DUMMYFUNCTION("IMPORTRANGE(""https://docs.google.com/spreadsheets/d/11923uPwbBZFjjGgGUA6NLw09EwE0CqkOc4q9oUmW1yo/edit?usp=sharing"",""น่าน!M431"")"),0)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IFERROR(__xludf.DUMMYFUNCTION("IMPORTRANGE(""https://docs.google.com/spreadsheets/d/11923uPwbBZFjjGgGUA6NLw09EwE0CqkOc4q9oUmW1yo/edit?usp=sharing"",""น่าน!L432"")"),34340)</f>
        <v>34340</v>
      </c>
      <c r="M537" s="178"/>
      <c r="N537" s="178">
        <f ca="1">IFERROR(__xludf.DUMMYFUNCTION("IMPORTRANGE(""https://docs.google.com/spreadsheets/d/11923uPwbBZFjjGgGUA6NLw09EwE0CqkOc4q9oUmW1yo/edit?usp=sharing"",""น่าน!M432"")"),26576)</f>
        <v>26576</v>
      </c>
      <c r="O537" s="178">
        <f t="shared" ca="1" si="118"/>
        <v>77.390797903319751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IFERROR(__xludf.DUMMYFUNCTION("IMPORTRANGE(""https://docs.google.com/spreadsheets/d/11923uPwbBZFjjGgGUA6NLw09EwE0CqkOc4q9oUmW1yo/edit?usp=sharing"",""น่าน!M433"")"),18966)</f>
        <v>18966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IFERROR(__xludf.DUMMYFUNCTION("IMPORTRANGE(""https://docs.google.com/spreadsheets/d/11923uPwbBZFjjGgGUA6NLw09EwE0CqkOc4q9oUmW1yo/edit?usp=sharing"",""น่าน!M434"")"),0)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IFERROR(__xludf.DUMMYFUNCTION("IMPORTRANGE(""https://docs.google.com/spreadsheets/d/11923uPwbBZFjjGgGUA6NLw09EwE0CqkOc4q9oUmW1yo/edit?usp=sharing"",""น่าน!M435"")"),0)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IFERROR(__xludf.DUMMYFUNCTION("IMPORTRANGE(""https://docs.google.com/spreadsheets/d/11923uPwbBZFjjGgGUA6NLw09EwE0CqkOc4q9oUmW1yo/edit?usp=sharing"",""น่าน!M436"")"),7610)</f>
        <v>7610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IFERROR(__xludf.DUMMYFUNCTION("IMPORTRANGE(""https://docs.google.com/spreadsheets/d/11923uPwbBZFjjGgGUA6NLw09EwE0CqkOc4q9oUmW1yo/edit?usp=sharing"",""น่าน!J438"")"),0)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IFERROR(__xludf.DUMMYFUNCTION("IMPORTRANGE(""https://docs.google.com/spreadsheets/d/11923uPwbBZFjjGgGUA6NLw09EwE0CqkOc4q9oUmW1yo/edit?usp=sharing"",""น่าน!J439"")"),1)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IFERROR(__xludf.DUMMYFUNCTION("IMPORTRANGE(""https://docs.google.com/spreadsheets/d/11923uPwbBZFjjGgGUA6NLw09EwE0CqkOc4q9oUmW1yo/edit?usp=sharing"",""น่าน!J440"")"),1)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IFERROR(__xludf.DUMMYFUNCTION("IMPORTRANGE(""https://docs.google.com/spreadsheets/d/11923uPwbBZFjjGgGUA6NLw09EwE0CqkOc4q9oUmW1yo/edit?usp=sharing"",""น่าน!J441"")"),1)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IFERROR(__xludf.DUMMYFUNCTION("IMPORTRANGE(""https://docs.google.com/spreadsheets/d/11923uPwbBZFjjGgGUA6NLw09EwE0CqkOc4q9oUmW1yo/edit?usp=sharing"",""น่าน!I442"")"),22)</f>
        <v>22</v>
      </c>
      <c r="J547" s="198">
        <f ca="1">IFERROR(__xludf.DUMMYFUNCTION("IMPORTRANGE(""https://docs.google.com/spreadsheets/d/11923uPwbBZFjjGgGUA6NLw09EwE0CqkOc4q9oUmW1yo/edit?usp=sharing"",""น่าน!J442"")"),22)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IFERROR(__xludf.DUMMYFUNCTION("IMPORTRANGE(""https://docs.google.com/spreadsheets/d/11923uPwbBZFjjGgGUA6NLw09EwE0CqkOc4q9oUmW1yo/edit?usp=sharing"",""น่าน!J166"")"),0)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IFERROR(__xludf.DUMMYFUNCTION("IMPORTRANGE(""https://docs.google.com/spreadsheets/d/11923uPwbBZFjjGgGUA6NLw09EwE0CqkOc4q9oUmW1yo/edit?usp=sharing"",""น่าน!J444"")"),0)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IFERROR(__xludf.DUMMYFUNCTION("IMPORTRANGE(""https://docs.google.com/spreadsheets/d/11923uPwbBZFjjGgGUA6NLw09EwE0CqkOc4q9oUmW1yo/edit?usp=sharing"",""น่าน!J445"")"),0)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IFERROR(__xludf.DUMMYFUNCTION("IMPORTRANGE(""https://docs.google.com/spreadsheets/d/11923uPwbBZFjjGgGUA6NLw09EwE0CqkOc4q9oUmW1yo/edit?usp=sharing"",""น่าน!I446"")"),0)</f>
        <v>0</v>
      </c>
      <c r="J551" s="418">
        <f ca="1">IFERROR(__xludf.DUMMYFUNCTION("IMPORTRANGE(""https://docs.google.com/spreadsheets/d/11923uPwbBZFjjGgGUA6NLw09EwE0CqkOc4q9oUmW1yo/edit?usp=sharing"",""น่าน!J446"")"),0)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IFERROR(__xludf.DUMMYFUNCTION("IMPORTRANGE(""https://docs.google.com/spreadsheets/d/11923uPwbBZFjjGgGUA6NLw09EwE0CqkOc4q9oUmW1yo/edit?usp=sharing"",""น่าน!L446"")"),0)</f>
        <v>0</v>
      </c>
      <c r="M551" s="420"/>
      <c r="N551" s="420">
        <f ca="1">IFERROR(__xludf.DUMMYFUNCTION("IMPORTRANGE(""https://docs.google.com/spreadsheets/d/11923uPwbBZFjjGgGUA6NLw09EwE0CqkOc4q9oUmW1yo/edit?usp=sharing"",""น่าน!M446"")"),0)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IFERROR(__xludf.DUMMYFUNCTION("IMPORTRANGE(""https://docs.google.com/spreadsheets/d/11923uPwbBZFjjGgGUA6NLw09EwE0CqkOc4q9oUmW1yo/edit?usp=sharing"",""น่าน!L447"")"),0)</f>
        <v>0</v>
      </c>
      <c r="M552" s="172"/>
      <c r="N552" s="178">
        <f ca="1">IFERROR(__xludf.DUMMYFUNCTION("IMPORTRANGE(""https://docs.google.com/spreadsheets/d/11923uPwbBZFjjGgGUA6NLw09EwE0CqkOc4q9oUmW1yo/edit?usp=sharing"",""น่าน!M447"")"),0)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IFERROR(__xludf.DUMMYFUNCTION("IMPORTRANGE(""https://docs.google.com/spreadsheets/d/11923uPwbBZFjjGgGUA6NLw09EwE0CqkOc4q9oUmW1yo/edit?usp=sharing"",""น่าน!L448"")"),0)</f>
        <v>0</v>
      </c>
      <c r="M553" s="173"/>
      <c r="N553" s="178">
        <f ca="1">IFERROR(__xludf.DUMMYFUNCTION("IMPORTRANGE(""https://docs.google.com/spreadsheets/d/11923uPwbBZFjjGgGUA6NLw09EwE0CqkOc4q9oUmW1yo/edit?usp=sharing"",""น่าน!M448"")"),0)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IFERROR(__xludf.DUMMYFUNCTION("IMPORTRANGE(""https://docs.google.com/spreadsheets/d/11923uPwbBZFjjGgGUA6NLw09EwE0CqkOc4q9oUmW1yo/edit?usp=sharing"",""น่าน!L449"")"),0)</f>
        <v>0</v>
      </c>
      <c r="M554" s="178"/>
      <c r="N554" s="178">
        <f ca="1">IFERROR(__xludf.DUMMYFUNCTION("IMPORTRANGE(""https://docs.google.com/spreadsheets/d/11923uPwbBZFjjGgGUA6NLw09EwE0CqkOc4q9oUmW1yo/edit?usp=sharing"",""น่าน!M449"")"),0)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IFERROR(__xludf.DUMMYFUNCTION("IMPORTRANGE(""https://docs.google.com/spreadsheets/d/11923uPwbBZFjjGgGUA6NLw09EwE0CqkOc4q9oUmW1yo/edit?usp=sharing"",""น่าน!L450"")"),0)</f>
        <v>0</v>
      </c>
      <c r="M555" s="178"/>
      <c r="N555" s="178">
        <f ca="1">IFERROR(__xludf.DUMMYFUNCTION("IMPORTRANGE(""https://docs.google.com/spreadsheets/d/11923uPwbBZFjjGgGUA6NLw09EwE0CqkOc4q9oUmW1yo/edit?usp=sharing"",""น่าน!M450"")"),0)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IFERROR(__xludf.DUMMYFUNCTION("IMPORTRANGE(""https://docs.google.com/spreadsheets/d/11923uPwbBZFjjGgGUA6NLw09EwE0CqkOc4q9oUmW1yo/edit?usp=sharing"",""น่าน!M451"")"),0)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IFERROR(__xludf.DUMMYFUNCTION("IMPORTRANGE(""https://docs.google.com/spreadsheets/d/11923uPwbBZFjjGgGUA6NLw09EwE0CqkOc4q9oUmW1yo/edit?usp=sharing"",""น่าน!M452"")"),0)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IFERROR(__xludf.DUMMYFUNCTION("IMPORTRANGE(""https://docs.google.com/spreadsheets/d/11923uPwbBZFjjGgGUA6NLw09EwE0CqkOc4q9oUmW1yo/edit?usp=sharing"",""น่าน!M453"")"),0)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IFERROR(__xludf.DUMMYFUNCTION("IMPORTRANGE(""https://docs.google.com/spreadsheets/d/11923uPwbBZFjjGgGUA6NLw09EwE0CqkOc4q9oUmW1yo/edit?usp=sharing"",""น่าน!M454"")"),0)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IFERROR(__xludf.DUMMYFUNCTION("IMPORTRANGE(""https://docs.google.com/spreadsheets/d/11923uPwbBZFjjGgGUA6NLw09EwE0CqkOc4q9oUmW1yo/edit?usp=sharing"",""น่าน!I455"")"),0)</f>
        <v>0</v>
      </c>
      <c r="J560" s="170">
        <f ca="1">IFERROR(__xludf.DUMMYFUNCTION("IMPORTRANGE(""https://docs.google.com/spreadsheets/d/11923uPwbBZFjjGgGUA6NLw09EwE0CqkOc4q9oUmW1yo/edit?usp=sharing"",""น่าน!J455"")"),0)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IFERROR(__xludf.DUMMYFUNCTION("IMPORTRANGE(""https://docs.google.com/spreadsheets/d/11923uPwbBZFjjGgGUA6NLw09EwE0CqkOc4q9oUmW1yo/edit?usp=sharing"",""น่าน!I456"")"),0)</f>
        <v>0</v>
      </c>
      <c r="J561" s="213">
        <f ca="1">IFERROR(__xludf.DUMMYFUNCTION("IMPORTRANGE(""https://docs.google.com/spreadsheets/d/11923uPwbBZFjjGgGUA6NLw09EwE0CqkOc4q9oUmW1yo/edit?usp=sharing"",""น่าน!J456"")"),0)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 t="str">
        <f ca="1">IFERROR(__xludf.DUMMYFUNCTION("IMPORTRANGE(""https://docs.google.com/spreadsheets/d/11923uPwbBZFjjGgGUA6NLw09EwE0CqkOc4q9oUmW1yo/edit?usp=sharing"",""น่าน!I457"")"),"")</f>
        <v/>
      </c>
      <c r="J562" s="213" t="str">
        <f ca="1">IFERROR(__xludf.DUMMYFUNCTION("IMPORTRANGE(""https://docs.google.com/spreadsheets/d/11923uPwbBZFjjGgGUA6NLw09EwE0CqkOc4q9oUmW1yo/edit?usp=sharing"",""น่าน!J457"")"),"")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 t="str">
        <f ca="1">IFERROR(__xludf.DUMMYFUNCTION("IMPORTRANGE(""https://docs.google.com/spreadsheets/d/11923uPwbBZFjjGgGUA6NLw09EwE0CqkOc4q9oUmW1yo/edit?usp=sharing"",""น่าน!I458"")"),"")</f>
        <v/>
      </c>
      <c r="J563" s="197" t="str">
        <f ca="1">IFERROR(__xludf.DUMMYFUNCTION("IMPORTRANGE(""https://docs.google.com/spreadsheets/d/11923uPwbBZFjjGgGUA6NLw09EwE0CqkOc4q9oUmW1yo/edit?usp=sharing"",""น่าน!J458"")"),"")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IFERROR(__xludf.DUMMYFUNCTION("IMPORTRANGE(""https://docs.google.com/spreadsheets/d/11923uPwbBZFjjGgGUA6NLw09EwE0CqkOc4q9oUmW1yo/edit?usp=sharing"",""น่าน!I459"")"),2150)</f>
        <v>2150</v>
      </c>
      <c r="J564" s="379">
        <f ca="1">IFERROR(__xludf.DUMMYFUNCTION("IMPORTRANGE(""https://docs.google.com/spreadsheets/d/11923uPwbBZFjjGgGUA6NLw09EwE0CqkOc4q9oUmW1yo/edit?usp=sharing"",""น่าน!J459"")"),763)</f>
        <v>763</v>
      </c>
      <c r="K564" s="380">
        <f t="shared" ca="1" si="121"/>
        <v>35.488372093023258</v>
      </c>
      <c r="L564" s="381">
        <f ca="1">IFERROR(__xludf.DUMMYFUNCTION("IMPORTRANGE(""https://docs.google.com/spreadsheets/d/11923uPwbBZFjjGgGUA6NLw09EwE0CqkOc4q9oUmW1yo/edit?usp=sharing"",""น่าน!L459"")"),144800)</f>
        <v>144800</v>
      </c>
      <c r="M564" s="381"/>
      <c r="N564" s="381">
        <f ca="1">IFERROR(__xludf.DUMMYFUNCTION("IMPORTRANGE(""https://docs.google.com/spreadsheets/d/11923uPwbBZFjjGgGUA6NLw09EwE0CqkOc4q9oUmW1yo/edit?usp=sharing"",""น่าน!M459"")"),26830)</f>
        <v>26830</v>
      </c>
      <c r="O564" s="381">
        <f t="shared" ref="O564:O568" ca="1" si="122">+IF(L564&gt;0,N564*100/L564,0)</f>
        <v>18.52900552486188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IFERROR(__xludf.DUMMYFUNCTION("IMPORTRANGE(""https://docs.google.com/spreadsheets/d/11923uPwbBZFjjGgGUA6NLw09EwE0CqkOc4q9oUmW1yo/edit?usp=sharing"",""น่าน!L460"")"),0)</f>
        <v>0</v>
      </c>
      <c r="M565" s="172"/>
      <c r="N565" s="178">
        <f ca="1">IFERROR(__xludf.DUMMYFUNCTION("IMPORTRANGE(""https://docs.google.com/spreadsheets/d/11923uPwbBZFjjGgGUA6NLw09EwE0CqkOc4q9oUmW1yo/edit?usp=sharing"",""น่าน!M460"")"),0)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IFERROR(__xludf.DUMMYFUNCTION("IMPORTRANGE(""https://docs.google.com/spreadsheets/d/11923uPwbBZFjjGgGUA6NLw09EwE0CqkOc4q9oUmW1yo/edit?usp=sharing"",""น่าน!L461"")"),144800)</f>
        <v>144800</v>
      </c>
      <c r="M566" s="173"/>
      <c r="N566" s="178">
        <f ca="1">IFERROR(__xludf.DUMMYFUNCTION("IMPORTRANGE(""https://docs.google.com/spreadsheets/d/11923uPwbBZFjjGgGUA6NLw09EwE0CqkOc4q9oUmW1yo/edit?usp=sharing"",""น่าน!M461"")"),26830)</f>
        <v>26830</v>
      </c>
      <c r="O566" s="178">
        <f t="shared" ca="1" si="122"/>
        <v>18.52900552486188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IFERROR(__xludf.DUMMYFUNCTION("IMPORTRANGE(""https://docs.google.com/spreadsheets/d/11923uPwbBZFjjGgGUA6NLw09EwE0CqkOc4q9oUmW1yo/edit?usp=sharing"",""น่าน!L462"")"),0)</f>
        <v>0</v>
      </c>
      <c r="M567" s="178"/>
      <c r="N567" s="178">
        <f ca="1">IFERROR(__xludf.DUMMYFUNCTION("IMPORTRANGE(""https://docs.google.com/spreadsheets/d/11923uPwbBZFjjGgGUA6NLw09EwE0CqkOc4q9oUmW1yo/edit?usp=sharing"",""น่าน!M462"")"),0)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IFERROR(__xludf.DUMMYFUNCTION("IMPORTRANGE(""https://docs.google.com/spreadsheets/d/11923uPwbBZFjjGgGUA6NLw09EwE0CqkOc4q9oUmW1yo/edit?usp=sharing"",""น่าน!L463"")"),144800)</f>
        <v>144800</v>
      </c>
      <c r="M568" s="178"/>
      <c r="N568" s="178">
        <f ca="1">IFERROR(__xludf.DUMMYFUNCTION("IMPORTRANGE(""https://docs.google.com/spreadsheets/d/11923uPwbBZFjjGgGUA6NLw09EwE0CqkOc4q9oUmW1yo/edit?usp=sharing"",""น่าน!M463"")"),26830)</f>
        <v>26830</v>
      </c>
      <c r="O568" s="178">
        <f t="shared" ca="1" si="122"/>
        <v>18.52900552486188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IFERROR(__xludf.DUMMYFUNCTION("IMPORTRANGE(""https://docs.google.com/spreadsheets/d/11923uPwbBZFjjGgGUA6NLw09EwE0CqkOc4q9oUmW1yo/edit?usp=sharing"",""น่าน!M464"")"),0)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IFERROR(__xludf.DUMMYFUNCTION("IMPORTRANGE(""https://docs.google.com/spreadsheets/d/11923uPwbBZFjjGgGUA6NLw09EwE0CqkOc4q9oUmW1yo/edit?usp=sharing"",""น่าน!M465"")"),0)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IFERROR(__xludf.DUMMYFUNCTION("IMPORTRANGE(""https://docs.google.com/spreadsheets/d/11923uPwbBZFjjGgGUA6NLw09EwE0CqkOc4q9oUmW1yo/edit?usp=sharing"",""น่าน!M466"")"),25830)</f>
        <v>25830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IFERROR(__xludf.DUMMYFUNCTION("IMPORTRANGE(""https://docs.google.com/spreadsheets/d/11923uPwbBZFjjGgGUA6NLw09EwE0CqkOc4q9oUmW1yo/edit?usp=sharing"",""น่าน!M467"")"),1000)</f>
        <v>1000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IFERROR(__xludf.DUMMYFUNCTION("IMPORTRANGE(""https://docs.google.com/spreadsheets/d/11923uPwbBZFjjGgGUA6NLw09EwE0CqkOc4q9oUmW1yo/edit?usp=sharing"",""น่าน!I468"")"),2150)</f>
        <v>2150</v>
      </c>
      <c r="J573" s="428">
        <f ca="1">IFERROR(__xludf.DUMMYFUNCTION("IMPORTRANGE(""https://docs.google.com/spreadsheets/d/11923uPwbBZFjjGgGUA6NLw09EwE0CqkOc4q9oUmW1yo/edit?usp=sharing"",""น่าน!J468"")"),763)</f>
        <v>763</v>
      </c>
      <c r="K573" s="211">
        <f ca="1">IF(I573&gt;0,J573*100/I573,0)</f>
        <v>35.488372093023258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IFERROR(__xludf.DUMMYFUNCTION("IMPORTRANGE(""https://docs.google.com/spreadsheets/d/11923uPwbBZFjjGgGUA6NLw09EwE0CqkOc4q9oUmW1yo/edit?usp=sharing"",""น่าน!I470"")"),0)</f>
        <v>0</v>
      </c>
      <c r="J575" s="207">
        <f ca="1">IFERROR(__xludf.DUMMYFUNCTION("IMPORTRANGE(""https://docs.google.com/spreadsheets/d/11923uPwbBZFjjGgGUA6NLw09EwE0CqkOc4q9oUmW1yo/edit?usp=sharing"",""น่าน!J470"")"),1)</f>
        <v>1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IFERROR(__xludf.DUMMYFUNCTION("IMPORTRANGE(""https://docs.google.com/spreadsheets/d/11923uPwbBZFjjGgGUA6NLw09EwE0CqkOc4q9oUmW1yo/edit?usp=sharing"",""น่าน!I471"")"),0)</f>
        <v>0</v>
      </c>
      <c r="J576" s="207">
        <f ca="1">IFERROR(__xludf.DUMMYFUNCTION("IMPORTRANGE(""https://docs.google.com/spreadsheets/d/11923uPwbBZFjjGgGUA6NLw09EwE0CqkOc4q9oUmW1yo/edit?usp=sharing"",""น่าน!J471"")"),108)</f>
        <v>108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IFERROR(__xludf.DUMMYFUNCTION("IMPORTRANGE(""https://docs.google.com/spreadsheets/d/11923uPwbBZFjjGgGUA6NLw09EwE0CqkOc4q9oUmW1yo/edit?usp=sharing"",""น่าน!I472"")"),0)</f>
        <v>0</v>
      </c>
      <c r="J577" s="198">
        <f ca="1">IFERROR(__xludf.DUMMYFUNCTION("IMPORTRANGE(""https://docs.google.com/spreadsheets/d/11923uPwbBZFjjGgGUA6NLw09EwE0CqkOc4q9oUmW1yo/edit?usp=sharing"",""น่าน!J472"")"),641)</f>
        <v>641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IFERROR(__xludf.DUMMYFUNCTION("IMPORTRANGE(""https://docs.google.com/spreadsheets/d/11923uPwbBZFjjGgGUA6NLw09EwE0CqkOc4q9oUmW1yo/edit?usp=sharing"",""น่าน!I473"")"),0)</f>
        <v>0</v>
      </c>
      <c r="J578" s="207">
        <f ca="1">IFERROR(__xludf.DUMMYFUNCTION("IMPORTRANGE(""https://docs.google.com/spreadsheets/d/11923uPwbBZFjjGgGUA6NLw09EwE0CqkOc4q9oUmW1yo/edit?usp=sharing"",""น่าน!J473"")"),14)</f>
        <v>14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IFERROR(__xludf.DUMMYFUNCTION("IMPORTRANGE(""https://docs.google.com/spreadsheets/d/11923uPwbBZFjjGgGUA6NLw09EwE0CqkOc4q9oUmW1yo/edit?usp=sharing"",""น่าน!I474"")"),0)</f>
        <v>0</v>
      </c>
      <c r="J579" s="207">
        <f ca="1">IFERROR(__xludf.DUMMYFUNCTION("IMPORTRANGE(""https://docs.google.com/spreadsheets/d/11923uPwbBZFjjGgGUA6NLw09EwE0CqkOc4q9oUmW1yo/edit?usp=sharing"",""น่าน!J474"")"),0)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IFERROR(__xludf.DUMMYFUNCTION("IMPORTRANGE(""https://docs.google.com/spreadsheets/d/11923uPwbBZFjjGgGUA6NLw09EwE0CqkOc4q9oUmW1yo/edit?usp=sharing"",""น่าน!I475"")"),70)</f>
        <v>70</v>
      </c>
      <c r="J580" s="379">
        <f ca="1">IFERROR(__xludf.DUMMYFUNCTION("IMPORTRANGE(""https://docs.google.com/spreadsheets/d/11923uPwbBZFjjGgGUA6NLw09EwE0CqkOc4q9oUmW1yo/edit?usp=sharing"",""น่าน!J475"")"),0)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IFERROR(__xludf.DUMMYFUNCTION("IMPORTRANGE(""https://docs.google.com/spreadsheets/d/11923uPwbBZFjjGgGUA6NLw09EwE0CqkOc4q9oUmW1yo/edit?usp=sharing"",""น่าน!L475"")"),298470)</f>
        <v>298470</v>
      </c>
      <c r="M580" s="381"/>
      <c r="N580" s="381">
        <f ca="1">IFERROR(__xludf.DUMMYFUNCTION("IMPORTRANGE(""https://docs.google.com/spreadsheets/d/11923uPwbBZFjjGgGUA6NLw09EwE0CqkOc4q9oUmW1yo/edit?usp=sharing"",""น่าน!M475"")"),20380)</f>
        <v>20380</v>
      </c>
      <c r="O580" s="381">
        <f t="shared" ref="O580:O584" ca="1" si="124">+IF(L580&gt;0,N580*100/L580,0)</f>
        <v>6.8281569336951788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IFERROR(__xludf.DUMMYFUNCTION("IMPORTRANGE(""https://docs.google.com/spreadsheets/d/11923uPwbBZFjjGgGUA6NLw09EwE0CqkOc4q9oUmW1yo/edit?usp=sharing"",""น่าน!L476"")"),0)</f>
        <v>0</v>
      </c>
      <c r="M581" s="172"/>
      <c r="N581" s="178">
        <f ca="1">IFERROR(__xludf.DUMMYFUNCTION("IMPORTRANGE(""https://docs.google.com/spreadsheets/d/11923uPwbBZFjjGgGUA6NLw09EwE0CqkOc4q9oUmW1yo/edit?usp=sharing"",""น่าน!M476"")"),0)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IFERROR(__xludf.DUMMYFUNCTION("IMPORTRANGE(""https://docs.google.com/spreadsheets/d/11923uPwbBZFjjGgGUA6NLw09EwE0CqkOc4q9oUmW1yo/edit?usp=sharing"",""น่าน!L477"")"),298470)</f>
        <v>298470</v>
      </c>
      <c r="M582" s="173"/>
      <c r="N582" s="178">
        <f ca="1">IFERROR(__xludf.DUMMYFUNCTION("IMPORTRANGE(""https://docs.google.com/spreadsheets/d/11923uPwbBZFjjGgGUA6NLw09EwE0CqkOc4q9oUmW1yo/edit?usp=sharing"",""น่าน!M477"")"),20380)</f>
        <v>20380</v>
      </c>
      <c r="O582" s="178">
        <f t="shared" ca="1" si="124"/>
        <v>6.8281569336951788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IFERROR(__xludf.DUMMYFUNCTION("IMPORTRANGE(""https://docs.google.com/spreadsheets/d/11923uPwbBZFjjGgGUA6NLw09EwE0CqkOc4q9oUmW1yo/edit?usp=sharing"",""น่าน!L478"")"),0)</f>
        <v>0</v>
      </c>
      <c r="M583" s="178"/>
      <c r="N583" s="178">
        <f ca="1">IFERROR(__xludf.DUMMYFUNCTION("IMPORTRANGE(""https://docs.google.com/spreadsheets/d/11923uPwbBZFjjGgGUA6NLw09EwE0CqkOc4q9oUmW1yo/edit?usp=sharing"",""น่าน!M478"")"),0)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IFERROR(__xludf.DUMMYFUNCTION("IMPORTRANGE(""https://docs.google.com/spreadsheets/d/11923uPwbBZFjjGgGUA6NLw09EwE0CqkOc4q9oUmW1yo/edit?usp=sharing"",""น่าน!L479"")"),298470)</f>
        <v>298470</v>
      </c>
      <c r="M584" s="178"/>
      <c r="N584" s="178">
        <f ca="1">IFERROR(__xludf.DUMMYFUNCTION("IMPORTRANGE(""https://docs.google.com/spreadsheets/d/11923uPwbBZFjjGgGUA6NLw09EwE0CqkOc4q9oUmW1yo/edit?usp=sharing"",""น่าน!M479"")"),20380)</f>
        <v>20380</v>
      </c>
      <c r="O584" s="178">
        <f t="shared" ca="1" si="124"/>
        <v>6.8281569336951788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IFERROR(__xludf.DUMMYFUNCTION("IMPORTRANGE(""https://docs.google.com/spreadsheets/d/11923uPwbBZFjjGgGUA6NLw09EwE0CqkOc4q9oUmW1yo/edit?usp=sharing"",""น่าน!M480"")"),0)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IFERROR(__xludf.DUMMYFUNCTION("IMPORTRANGE(""https://docs.google.com/spreadsheets/d/11923uPwbBZFjjGgGUA6NLw09EwE0CqkOc4q9oUmW1yo/edit?usp=sharing"",""น่าน!M481"")"),0)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IFERROR(__xludf.DUMMYFUNCTION("IMPORTRANGE(""https://docs.google.com/spreadsheets/d/11923uPwbBZFjjGgGUA6NLw09EwE0CqkOc4q9oUmW1yo/edit?usp=sharing"",""น่าน!M482"")"),18320)</f>
        <v>18320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IFERROR(__xludf.DUMMYFUNCTION("IMPORTRANGE(""https://docs.google.com/spreadsheets/d/11923uPwbBZFjjGgGUA6NLw09EwE0CqkOc4q9oUmW1yo/edit?usp=sharing"",""น่าน!M483"")"),2060)</f>
        <v>2060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IFERROR(__xludf.DUMMYFUNCTION("IMPORTRANGE(""https://docs.google.com/spreadsheets/d/11923uPwbBZFjjGgGUA6NLw09EwE0CqkOc4q9oUmW1yo/edit?usp=sharing"",""น่าน!I484"")"),70)</f>
        <v>70</v>
      </c>
      <c r="J589" s="197">
        <f ca="1">IFERROR(__xludf.DUMMYFUNCTION("IMPORTRANGE(""https://docs.google.com/spreadsheets/d/11923uPwbBZFjjGgGUA6NLw09EwE0CqkOc4q9oUmW1yo/edit?usp=sharing"",""น่าน!J484"")"),2)</f>
        <v>2</v>
      </c>
      <c r="K589" s="171">
        <f t="shared" ref="K589:K596" ca="1" si="125">IF(I589&gt;0,J589*100/I589,0)</f>
        <v>2.8571428571428572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IFERROR(__xludf.DUMMYFUNCTION("IMPORTRANGE(""https://docs.google.com/spreadsheets/d/11923uPwbBZFjjGgGUA6NLw09EwE0CqkOc4q9oUmW1yo/edit?usp=sharing"",""น่าน!I485"")"),0)</f>
        <v>0</v>
      </c>
      <c r="J590" s="197">
        <f ca="1">IFERROR(__xludf.DUMMYFUNCTION("IMPORTRANGE(""https://docs.google.com/spreadsheets/d/11923uPwbBZFjjGgGUA6NLw09EwE0CqkOc4q9oUmW1yo/edit?usp=sharing"",""น่าน!J485"")"),1.89)</f>
        <v>1.89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IFERROR(__xludf.DUMMYFUNCTION("IMPORTRANGE(""https://docs.google.com/spreadsheets/d/11923uPwbBZFjjGgGUA6NLw09EwE0CqkOc4q9oUmW1yo/edit?usp=sharing"",""น่าน!I486"")"),70)</f>
        <v>70</v>
      </c>
      <c r="J591" s="197">
        <f ca="1">IFERROR(__xludf.DUMMYFUNCTION("IMPORTRANGE(""https://docs.google.com/spreadsheets/d/11923uPwbBZFjjGgGUA6NLw09EwE0CqkOc4q9oUmW1yo/edit?usp=sharing"",""น่าน!J486"")"),0)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IFERROR(__xludf.DUMMYFUNCTION("IMPORTRANGE(""https://docs.google.com/spreadsheets/d/11923uPwbBZFjjGgGUA6NLw09EwE0CqkOc4q9oUmW1yo/edit?usp=sharing"",""น่าน!I487"")"),0)</f>
        <v>0</v>
      </c>
      <c r="J592" s="197">
        <f ca="1">IFERROR(__xludf.DUMMYFUNCTION("IMPORTRANGE(""https://docs.google.com/spreadsheets/d/11923uPwbBZFjjGgGUA6NLw09EwE0CqkOc4q9oUmW1yo/edit?usp=sharing"",""น่าน!J487"")"),0)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IFERROR(__xludf.DUMMYFUNCTION("IMPORTRANGE(""https://docs.google.com/spreadsheets/d/11923uPwbBZFjjGgGUA6NLw09EwE0CqkOc4q9oUmW1yo/edit?usp=sharing"",""น่าน!I488"")"),70)</f>
        <v>70</v>
      </c>
      <c r="J593" s="197">
        <f ca="1">IFERROR(__xludf.DUMMYFUNCTION("IMPORTRANGE(""https://docs.google.com/spreadsheets/d/11923uPwbBZFjjGgGUA6NLw09EwE0CqkOc4q9oUmW1yo/edit?usp=sharing"",""น่าน!J488"")"),0)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IFERROR(__xludf.DUMMYFUNCTION("IMPORTRANGE(""https://docs.google.com/spreadsheets/d/11923uPwbBZFjjGgGUA6NLw09EwE0CqkOc4q9oUmW1yo/edit?usp=sharing"",""น่าน!I489"")"),0)</f>
        <v>0</v>
      </c>
      <c r="J594" s="197">
        <f ca="1">IFERROR(__xludf.DUMMYFUNCTION("IMPORTRANGE(""https://docs.google.com/spreadsheets/d/11923uPwbBZFjjGgGUA6NLw09EwE0CqkOc4q9oUmW1yo/edit?usp=sharing"",""น่าน!J489"")"),0)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IFERROR(__xludf.DUMMYFUNCTION("IMPORTRANGE(""https://docs.google.com/spreadsheets/d/11923uPwbBZFjjGgGUA6NLw09EwE0CqkOc4q9oUmW1yo/edit?usp=sharing"",""น่าน!I490"")"),70)</f>
        <v>70</v>
      </c>
      <c r="J595" s="197">
        <f ca="1">IFERROR(__xludf.DUMMYFUNCTION("IMPORTRANGE(""https://docs.google.com/spreadsheets/d/11923uPwbBZFjjGgGUA6NLw09EwE0CqkOc4q9oUmW1yo/edit?usp=sharing"",""น่าน!J490"")"),0)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IFERROR(__xludf.DUMMYFUNCTION("IMPORTRANGE(""https://docs.google.com/spreadsheets/d/11923uPwbBZFjjGgGUA6NLw09EwE0CqkOc4q9oUmW1yo/edit?usp=sharing"",""น่าน!I491"")"),0)</f>
        <v>0</v>
      </c>
      <c r="J596" s="250">
        <f ca="1">IFERROR(__xludf.DUMMYFUNCTION("IMPORTRANGE(""https://docs.google.com/spreadsheets/d/11923uPwbBZFjjGgGUA6NLw09EwE0CqkOc4q9oUmW1yo/edit?usp=sharing"",""น่าน!J491"")"),0)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IFERROR(__xludf.DUMMYFUNCTION("IMPORTRANGE(""https://docs.google.com/spreadsheets/d/11923uPwbBZFjjGgGUA6NLw09EwE0CqkOc4q9oUmW1yo/edit?usp=sharing"",""น่าน!I492"")"),100)</f>
        <v>100</v>
      </c>
      <c r="J597" s="495">
        <f ca="1">IFERROR(__xludf.DUMMYFUNCTION("IMPORTRANGE(""https://docs.google.com/spreadsheets/d/11923uPwbBZFjjGgGUA6NLw09EwE0CqkOc4q9oUmW1yo/edit?usp=sharing"",""น่าน!J492"")"),0)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IFERROR(__xludf.DUMMYFUNCTION("IMPORTRANGE(""https://docs.google.com/spreadsheets/d/11923uPwbBZFjjGgGUA6NLw09EwE0CqkOc4q9oUmW1yo/edit?usp=sharing"",""น่าน!L492"")"),8900)</f>
        <v>8900</v>
      </c>
      <c r="M597" s="420"/>
      <c r="N597" s="420">
        <f ca="1">IFERROR(__xludf.DUMMYFUNCTION("IMPORTRANGE(""https://docs.google.com/spreadsheets/d/11923uPwbBZFjjGgGUA6NLw09EwE0CqkOc4q9oUmW1yo/edit?usp=sharing"",""น่าน!M492"")"),1800)</f>
        <v>1800</v>
      </c>
      <c r="O597" s="420">
        <f t="shared" ref="O597:O601" ca="1" si="126">+IF(L597&gt;0,N597*100/L597,0)</f>
        <v>20.224719101123597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IFERROR(__xludf.DUMMYFUNCTION("IMPORTRANGE(""https://docs.google.com/spreadsheets/d/11923uPwbBZFjjGgGUA6NLw09EwE0CqkOc4q9oUmW1yo/edit?usp=sharing"",""น่าน!L493"")"),0)</f>
        <v>0</v>
      </c>
      <c r="M598" s="172"/>
      <c r="N598" s="178">
        <f ca="1">IFERROR(__xludf.DUMMYFUNCTION("IMPORTRANGE(""https://docs.google.com/spreadsheets/d/11923uPwbBZFjjGgGUA6NLw09EwE0CqkOc4q9oUmW1yo/edit?usp=sharing"",""น่าน!M493"")"),0)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IFERROR(__xludf.DUMMYFUNCTION("IMPORTRANGE(""https://docs.google.com/spreadsheets/d/11923uPwbBZFjjGgGUA6NLw09EwE0CqkOc4q9oUmW1yo/edit?usp=sharing"",""น่าน!L494"")"),8900)</f>
        <v>8900</v>
      </c>
      <c r="M599" s="173"/>
      <c r="N599" s="178">
        <f ca="1">IFERROR(__xludf.DUMMYFUNCTION("IMPORTRANGE(""https://docs.google.com/spreadsheets/d/11923uPwbBZFjjGgGUA6NLw09EwE0CqkOc4q9oUmW1yo/edit?usp=sharing"",""น่าน!M494"")"),1800)</f>
        <v>1800</v>
      </c>
      <c r="O599" s="178">
        <f t="shared" ca="1" si="126"/>
        <v>20.224719101123597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IFERROR(__xludf.DUMMYFUNCTION("IMPORTRANGE(""https://docs.google.com/spreadsheets/d/11923uPwbBZFjjGgGUA6NLw09EwE0CqkOc4q9oUmW1yo/edit?usp=sharing"",""น่าน!L495"")"),0)</f>
        <v>0</v>
      </c>
      <c r="M600" s="178"/>
      <c r="N600" s="178">
        <f ca="1">IFERROR(__xludf.DUMMYFUNCTION("IMPORTRANGE(""https://docs.google.com/spreadsheets/d/11923uPwbBZFjjGgGUA6NLw09EwE0CqkOc4q9oUmW1yo/edit?usp=sharing"",""น่าน!M495"")"),0)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IFERROR(__xludf.DUMMYFUNCTION("IMPORTRANGE(""https://docs.google.com/spreadsheets/d/11923uPwbBZFjjGgGUA6NLw09EwE0CqkOc4q9oUmW1yo/edit?usp=sharing"",""น่าน!L496"")"),8900)</f>
        <v>8900</v>
      </c>
      <c r="M601" s="178"/>
      <c r="N601" s="178">
        <f ca="1">IFERROR(__xludf.DUMMYFUNCTION("IMPORTRANGE(""https://docs.google.com/spreadsheets/d/11923uPwbBZFjjGgGUA6NLw09EwE0CqkOc4q9oUmW1yo/edit?usp=sharing"",""น่าน!M496"")"),1800)</f>
        <v>1800</v>
      </c>
      <c r="O601" s="178">
        <f t="shared" ca="1" si="126"/>
        <v>20.224719101123597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IFERROR(__xludf.DUMMYFUNCTION("IMPORTRANGE(""https://docs.google.com/spreadsheets/d/11923uPwbBZFjjGgGUA6NLw09EwE0CqkOc4q9oUmW1yo/edit?usp=sharing"",""น่าน!M497"")"),0)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IFERROR(__xludf.DUMMYFUNCTION("IMPORTRANGE(""https://docs.google.com/spreadsheets/d/11923uPwbBZFjjGgGUA6NLw09EwE0CqkOc4q9oUmW1yo/edit?usp=sharing"",""น่าน!M498"")"),0)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IFERROR(__xludf.DUMMYFUNCTION("IMPORTRANGE(""https://docs.google.com/spreadsheets/d/11923uPwbBZFjjGgGUA6NLw09EwE0CqkOc4q9oUmW1yo/edit?usp=sharing"",""น่าน!M499"")"),0)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IFERROR(__xludf.DUMMYFUNCTION("IMPORTRANGE(""https://docs.google.com/spreadsheets/d/11923uPwbBZFjjGgGUA6NLw09EwE0CqkOc4q9oUmW1yo/edit?usp=sharing"",""น่าน!M500"")"),1800)</f>
        <v>1800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IFERROR(__xludf.DUMMYFUNCTION("IMPORTRANGE(""https://docs.google.com/spreadsheets/d/11923uPwbBZFjjGgGUA6NLw09EwE0CqkOc4q9oUmW1yo/edit?usp=sharing"",""น่าน!J502"")"),0)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IFERROR(__xludf.DUMMYFUNCTION("IMPORTRANGE(""https://docs.google.com/spreadsheets/d/11923uPwbBZFjjGgGUA6NLw09EwE0CqkOc4q9oUmW1yo/edit?usp=sharing"",""น่าน!J503"")"),1)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IFERROR(__xludf.DUMMYFUNCTION("IMPORTRANGE(""https://docs.google.com/spreadsheets/d/11923uPwbBZFjjGgGUA6NLw09EwE0CqkOc4q9oUmW1yo/edit?usp=sharing"",""น่าน!J166"")"),0)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IFERROR(__xludf.DUMMYFUNCTION("IMPORTRANGE(""https://docs.google.com/spreadsheets/d/11923uPwbBZFjjGgGUA6NLw09EwE0CqkOc4q9oUmW1yo/edit?usp=sharing"",""น่าน!J166"")"),0)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IFERROR(__xludf.DUMMYFUNCTION("IMPORTRANGE(""https://docs.google.com/spreadsheets/d/11923uPwbBZFjjGgGUA6NLw09EwE0CqkOc4q9oUmW1yo/edit?usp=sharing"",""น่าน!I506"")"),100)</f>
        <v>100</v>
      </c>
      <c r="J611" s="170">
        <f ca="1">IFERROR(__xludf.DUMMYFUNCTION("IMPORTRANGE(""https://docs.google.com/spreadsheets/d/11923uPwbBZFjjGgGUA6NLw09EwE0CqkOc4q9oUmW1yo/edit?usp=sharing"",""น่าน!J506"")"),0)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IFERROR(__xludf.DUMMYFUNCTION("IMPORTRANGE(""https://docs.google.com/spreadsheets/d/11923uPwbBZFjjGgGUA6NLw09EwE0CqkOc4q9oUmW1yo/edit?usp=sharing"",""น่าน!I507"")"),0)</f>
        <v>0</v>
      </c>
      <c r="J612" s="207">
        <f ca="1">IFERROR(__xludf.DUMMYFUNCTION("IMPORTRANGE(""https://docs.google.com/spreadsheets/d/11923uPwbBZFjjGgGUA6NLw09EwE0CqkOc4q9oUmW1yo/edit?usp=sharing"",""น่าน!J507"")"),164)</f>
        <v>164</v>
      </c>
      <c r="K612" s="171">
        <f t="shared" ca="1" si="127"/>
        <v>164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IFERROR(__xludf.DUMMYFUNCTION("IMPORTRANGE(""https://docs.google.com/spreadsheets/d/11923uPwbBZFjjGgGUA6NLw09EwE0CqkOc4q9oUmW1yo/edit?usp=sharing"",""น่าน!I508"")"),0)</f>
        <v>0</v>
      </c>
      <c r="J613" s="207">
        <f ca="1">IFERROR(__xludf.DUMMYFUNCTION("IMPORTRANGE(""https://docs.google.com/spreadsheets/d/11923uPwbBZFjjGgGUA6NLw09EwE0CqkOc4q9oUmW1yo/edit?usp=sharing"",""น่าน!J508"")"),0)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IFERROR(__xludf.DUMMYFUNCTION("IMPORTRANGE(""https://docs.google.com/spreadsheets/d/11923uPwbBZFjjGgGUA6NLw09EwE0CqkOc4q9oUmW1yo/edit?usp=sharing"",""น่าน!I509"")"),0)</f>
        <v>0</v>
      </c>
      <c r="J614" s="207">
        <f ca="1">IFERROR(__xludf.DUMMYFUNCTION("IMPORTRANGE(""https://docs.google.com/spreadsheets/d/11923uPwbBZFjjGgGUA6NLw09EwE0CqkOc4q9oUmW1yo/edit?usp=sharing"",""น่าน!J509"")"),97.8)</f>
        <v>97.8</v>
      </c>
      <c r="K614" s="171">
        <f t="shared" ca="1" si="127"/>
        <v>97.8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IFERROR(__xludf.DUMMYFUNCTION("IMPORTRANGE(""https://docs.google.com/spreadsheets/d/11923uPwbBZFjjGgGUA6NLw09EwE0CqkOc4q9oUmW1yo/edit?usp=sharing"",""น่าน!I510"")"),0)</f>
        <v>0</v>
      </c>
      <c r="J615" s="207">
        <f ca="1">IFERROR(__xludf.DUMMYFUNCTION("IMPORTRANGE(""https://docs.google.com/spreadsheets/d/11923uPwbBZFjjGgGUA6NLw09EwE0CqkOc4q9oUmW1yo/edit?usp=sharing"",""น่าน!J510"")"),0)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IFERROR(__xludf.DUMMYFUNCTION("IMPORTRANGE(""https://docs.google.com/spreadsheets/d/11923uPwbBZFjjGgGUA6NLw09EwE0CqkOc4q9oUmW1yo/edit?usp=sharing"",""น่าน!I511"")"),0)</f>
        <v>0</v>
      </c>
      <c r="J616" s="207">
        <f ca="1">IFERROR(__xludf.DUMMYFUNCTION("IMPORTRANGE(""https://docs.google.com/spreadsheets/d/11923uPwbBZFjjGgGUA6NLw09EwE0CqkOc4q9oUmW1yo/edit?usp=sharing"",""น่าน!J511"")"),0)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IFERROR(__xludf.DUMMYFUNCTION("IMPORTRANGE(""https://docs.google.com/spreadsheets/d/11923uPwbBZFjjGgGUA6NLw09EwE0CqkOc4q9oUmW1yo/edit?usp=sharing"",""น่าน!I512"")"),0)</f>
        <v>0</v>
      </c>
      <c r="J617" s="197">
        <f ca="1">IFERROR(__xludf.DUMMYFUNCTION("IMPORTRANGE(""https://docs.google.com/spreadsheets/d/11923uPwbBZFjjGgGUA6NLw09EwE0CqkOc4q9oUmW1yo/edit?usp=sharing"",""น่าน!J512"")"),0)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IFERROR(__xludf.DUMMYFUNCTION("IMPORTRANGE(""https://docs.google.com/spreadsheets/d/11923uPwbBZFjjGgGUA6NLw09EwE0CqkOc4q9oUmW1yo/edit?usp=sharing"",""น่าน!I513"")"),0)</f>
        <v>0</v>
      </c>
      <c r="J618" s="198">
        <f ca="1">IFERROR(__xludf.DUMMYFUNCTION("IMPORTRANGE(""https://docs.google.com/spreadsheets/d/11923uPwbBZFjjGgGUA6NLw09EwE0CqkOc4q9oUmW1yo/edit?usp=sharing"",""น่าน!J513"")"),0)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IFERROR(__xludf.DUMMYFUNCTION("IMPORTRANGE(""https://docs.google.com/spreadsheets/d/11923uPwbBZFjjGgGUA6NLw09EwE0CqkOc4q9oUmW1yo/edit?usp=sharing"",""น่าน!I514"")"),0)</f>
        <v>0</v>
      </c>
      <c r="J619" s="198">
        <f ca="1">IFERROR(__xludf.DUMMYFUNCTION("IMPORTRANGE(""https://docs.google.com/spreadsheets/d/11923uPwbBZFjjGgGUA6NLw09EwE0CqkOc4q9oUmW1yo/edit?usp=sharing"",""น่าน!J514"")"),0)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IFERROR(__xludf.DUMMYFUNCTION("IMPORTRANGE(""https://docs.google.com/spreadsheets/d/11923uPwbBZFjjGgGUA6NLw09EwE0CqkOc4q9oUmW1yo/edit?usp=sharing"",""น่าน!I515"")"),0)</f>
        <v>0</v>
      </c>
      <c r="J620" s="212">
        <f ca="1">IFERROR(__xludf.DUMMYFUNCTION("IMPORTRANGE(""https://docs.google.com/spreadsheets/d/11923uPwbBZFjjGgGUA6NLw09EwE0CqkOc4q9oUmW1yo/edit?usp=sharing"",""น่าน!J515"")"),0)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IFERROR(__xludf.DUMMYFUNCTION("IMPORTRANGE(""https://docs.google.com/spreadsheets/d/11923uPwbBZFjjGgGUA6NLw09EwE0CqkOc4q9oUmW1yo/edit?usp=sharing"",""น่าน!I516"")"),0)</f>
        <v>0</v>
      </c>
      <c r="J621" s="212">
        <f ca="1">IFERROR(__xludf.DUMMYFUNCTION("IMPORTRANGE(""https://docs.google.com/spreadsheets/d/11923uPwbBZFjjGgGUA6NLw09EwE0CqkOc4q9oUmW1yo/edit?usp=sharing"",""น่าน!J516"")"),0)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IFERROR(__xludf.DUMMYFUNCTION("IMPORTRANGE(""https://docs.google.com/spreadsheets/d/11923uPwbBZFjjGgGUA6NLw09EwE0CqkOc4q9oUmW1yo/edit?usp=sharing"",""น่าน!I517"")"),0)</f>
        <v>0</v>
      </c>
      <c r="J622" s="198">
        <f ca="1">IFERROR(__xludf.DUMMYFUNCTION("IMPORTRANGE(""https://docs.google.com/spreadsheets/d/11923uPwbBZFjjGgGUA6NLw09EwE0CqkOc4q9oUmW1yo/edit?usp=sharing"",""น่าน!J517"")"),0)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IFERROR(__xludf.DUMMYFUNCTION("IMPORTRANGE(""https://docs.google.com/spreadsheets/d/11923uPwbBZFjjGgGUA6NLw09EwE0CqkOc4q9oUmW1yo/edit?usp=sharing"",""น่าน!I518"")"),0)</f>
        <v>0</v>
      </c>
      <c r="J623" s="198">
        <f ca="1">IFERROR(__xludf.DUMMYFUNCTION("IMPORTRANGE(""https://docs.google.com/spreadsheets/d/11923uPwbBZFjjGgGUA6NLw09EwE0CqkOc4q9oUmW1yo/edit?usp=sharing"",""น่าน!J518"")"),0)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IFERROR(__xludf.DUMMYFUNCTION("IMPORTRANGE(""https://docs.google.com/spreadsheets/d/11923uPwbBZFjjGgGUA6NLw09EwE0CqkOc4q9oUmW1yo/edit?usp=sharing"",""น่าน!I519"")"),0)</f>
        <v>0</v>
      </c>
      <c r="J624" s="197">
        <f ca="1">IFERROR(__xludf.DUMMYFUNCTION("IMPORTRANGE(""https://docs.google.com/spreadsheets/d/11923uPwbBZFjjGgGUA6NLw09EwE0CqkOc4q9oUmW1yo/edit?usp=sharing"",""น่าน!J519"")"),0)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IFERROR(__xludf.DUMMYFUNCTION("IMPORTRANGE(""https://docs.google.com/spreadsheets/d/11923uPwbBZFjjGgGUA6NLw09EwE0CqkOc4q9oUmW1yo/edit?usp=sharing"",""น่าน!I520"")"),0)</f>
        <v>0</v>
      </c>
      <c r="J625" s="198">
        <f ca="1">IFERROR(__xludf.DUMMYFUNCTION("IMPORTRANGE(""https://docs.google.com/spreadsheets/d/11923uPwbBZFjjGgGUA6NLw09EwE0CqkOc4q9oUmW1yo/edit?usp=sharing"",""น่าน!J520"")"),0)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IFERROR(__xludf.DUMMYFUNCTION("IMPORTRANGE(""https://docs.google.com/spreadsheets/d/11923uPwbBZFjjGgGUA6NLw09EwE0CqkOc4q9oUmW1yo/edit?usp=sharing"",""น่าน!I521"")"),0)</f>
        <v>0</v>
      </c>
      <c r="J626" s="198">
        <f ca="1">IFERROR(__xludf.DUMMYFUNCTION("IMPORTRANGE(""https://docs.google.com/spreadsheets/d/11923uPwbBZFjjGgGUA6NLw09EwE0CqkOc4q9oUmW1yo/edit?usp=sharing"",""น่าน!J521"")"),0)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IFERROR(__xludf.DUMMYFUNCTION("IMPORTRANGE(""https://docs.google.com/spreadsheets/d/11923uPwbBZFjjGgGUA6NLw09EwE0CqkOc4q9oUmW1yo/edit?usp=sharing"",""น่าน!I523"")"),5152563.63)</f>
        <v>5152563.63</v>
      </c>
      <c r="J628" s="349">
        <f ca="1">IFERROR(__xludf.DUMMYFUNCTION("IMPORTRANGE(""https://docs.google.com/spreadsheets/d/11923uPwbBZFjjGgGUA6NLw09EwE0CqkOc4q9oUmW1yo/edit?usp=sharing"",""น่าน!J523"")"),710478.75)</f>
        <v>710478.75</v>
      </c>
      <c r="K628" s="350">
        <f t="shared" ref="K628:K635" ca="1" si="129">IF(I628&gt;0,J628*100/I628,0)</f>
        <v>13.788839906087681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IFERROR(__xludf.DUMMYFUNCTION("IMPORTRANGE(""https://docs.google.com/spreadsheets/d/11923uPwbBZFjjGgGUA6NLw09EwE0CqkOc4q9oUmW1yo/edit?usp=sharing"",""น่าน!I524"")"),327)</f>
        <v>327</v>
      </c>
      <c r="J629" s="349">
        <f ca="1">IFERROR(__xludf.DUMMYFUNCTION("IMPORTRANGE(""https://docs.google.com/spreadsheets/d/11923uPwbBZFjjGgGUA6NLw09EwE0CqkOc4q9oUmW1yo/edit?usp=sharing"",""น่าน!J524"")"),54)</f>
        <v>54</v>
      </c>
      <c r="K629" s="350">
        <f t="shared" ca="1" si="129"/>
        <v>16.513761467889907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IFERROR(__xludf.DUMMYFUNCTION("IMPORTRANGE(""https://docs.google.com/spreadsheets/d/11923uPwbBZFjjGgGUA6NLw09EwE0CqkOc4q9oUmW1yo/edit?usp=sharing"",""น่าน!I525"")"),1068977.23)</f>
        <v>1068977.23</v>
      </c>
      <c r="J630" s="349">
        <f ca="1">IFERROR(__xludf.DUMMYFUNCTION("IMPORTRANGE(""https://docs.google.com/spreadsheets/d/11923uPwbBZFjjGgGUA6NLw09EwE0CqkOc4q9oUmW1yo/edit?usp=sharing"",""น่าน!J525"")"),196610.65)</f>
        <v>196610.65</v>
      </c>
      <c r="K630" s="350">
        <f t="shared" ca="1" si="129"/>
        <v>18.392407666157681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IFERROR(__xludf.DUMMYFUNCTION("IMPORTRANGE(""https://docs.google.com/spreadsheets/d/11923uPwbBZFjjGgGUA6NLw09EwE0CqkOc4q9oUmW1yo/edit?usp=sharing"",""น่าน!I526"")"),68)</f>
        <v>68</v>
      </c>
      <c r="J631" s="349">
        <f ca="1">IFERROR(__xludf.DUMMYFUNCTION("IMPORTRANGE(""https://docs.google.com/spreadsheets/d/11923uPwbBZFjjGgGUA6NLw09EwE0CqkOc4q9oUmW1yo/edit?usp=sharing"",""น่าน!J526"")"),50)</f>
        <v>50</v>
      </c>
      <c r="K631" s="350">
        <f t="shared" ca="1" si="129"/>
        <v>73.529411764705884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IFERROR(__xludf.DUMMYFUNCTION("IMPORTRANGE(""https://docs.google.com/spreadsheets/d/11923uPwbBZFjjGgGUA6NLw09EwE0CqkOc4q9oUmW1yo/edit?usp=sharing"",""น่าน!I527"")"),0)</f>
        <v>0</v>
      </c>
      <c r="J632" s="349">
        <f ca="1">IFERROR(__xludf.DUMMYFUNCTION("IMPORTRANGE(""https://docs.google.com/spreadsheets/d/11923uPwbBZFjjGgGUA6NLw09EwE0CqkOc4q9oUmW1yo/edit?usp=sharing"",""น่าน!J527"")"),0)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IFERROR(__xludf.DUMMYFUNCTION("IMPORTRANGE(""https://docs.google.com/spreadsheets/d/11923uPwbBZFjjGgGUA6NLw09EwE0CqkOc4q9oUmW1yo/edit?usp=sharing"",""น่าน!I528"")"),0)</f>
        <v>0</v>
      </c>
      <c r="J633" s="349">
        <f ca="1">IFERROR(__xludf.DUMMYFUNCTION("IMPORTRANGE(""https://docs.google.com/spreadsheets/d/11923uPwbBZFjjGgGUA6NLw09EwE0CqkOc4q9oUmW1yo/edit?usp=sharing"",""น่าน!J528"")"),0)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IFERROR(__xludf.DUMMYFUNCTION("IMPORTRANGE(""https://docs.google.com/spreadsheets/d/11923uPwbBZFjjGgGUA6NLw09EwE0CqkOc4q9oUmW1yo/edit?usp=sharing"",""น่าน!I529"")"),6000000)</f>
        <v>6000000</v>
      </c>
      <c r="J634" s="349">
        <f ca="1">IFERROR(__xludf.DUMMYFUNCTION("IMPORTRANGE(""https://docs.google.com/spreadsheets/d/11923uPwbBZFjjGgGUA6NLw09EwE0CqkOc4q9oUmW1yo/edit?usp=sharing"",""น่าน!J529"")"),0)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IFERROR(__xludf.DUMMYFUNCTION("IMPORTRANGE(""https://docs.google.com/spreadsheets/d/11923uPwbBZFjjGgGUA6NLw09EwE0CqkOc4q9oUmW1yo/edit?usp=sharing"",""น่าน!I530"")"),223)</f>
        <v>223</v>
      </c>
      <c r="J635" s="519">
        <f ca="1">IFERROR(__xludf.DUMMYFUNCTION("IMPORTRANGE(""https://docs.google.com/spreadsheets/d/11923uPwbBZFjjGgGUA6NLw09EwE0CqkOc4q9oUmW1yo/edit?usp=sharing"",""น่าน!J530"")"),0)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9" sqref="J9"/>
      <selection pane="bottomLeft" activeCell="J9" sqref="J9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8.83203125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250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6304111</v>
      </c>
      <c r="M8" s="25">
        <f t="shared" ca="1" si="0"/>
        <v>1859955</v>
      </c>
      <c r="N8" s="25">
        <f t="shared" ca="1" si="0"/>
        <v>1823733.0899999999</v>
      </c>
      <c r="O8" s="24">
        <f t="shared" ref="O8:O16" ca="1" si="1">IF(L8&gt;0,N8*100/L8,0)</f>
        <v>28.929266791146286</v>
      </c>
      <c r="P8" s="24">
        <f t="shared" ref="P8:P16" ca="1" si="2">IF(M8&gt;0,N8*100/M8,0)</f>
        <v>98.052538367863733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6304111</v>
      </c>
      <c r="M10" s="32">
        <f t="shared" ca="1" si="4"/>
        <v>1859955</v>
      </c>
      <c r="N10" s="32">
        <f t="shared" ca="1" si="4"/>
        <v>1823733.0899999999</v>
      </c>
      <c r="O10" s="31">
        <f t="shared" ca="1" si="1"/>
        <v>28.929266791146286</v>
      </c>
      <c r="P10" s="31">
        <f t="shared" ca="1" si="2"/>
        <v>98.052538367863733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5912311</v>
      </c>
      <c r="M12" s="40">
        <f t="shared" ca="1" si="6"/>
        <v>1859955</v>
      </c>
      <c r="N12" s="40">
        <f t="shared" ca="1" si="6"/>
        <v>1431933.0899999999</v>
      </c>
      <c r="O12" s="40">
        <f t="shared" ca="1" si="1"/>
        <v>24.219515685152558</v>
      </c>
      <c r="P12" s="40">
        <f t="shared" ca="1" si="2"/>
        <v>76.98751260111132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1732200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4180111</v>
      </c>
      <c r="M14" s="40">
        <f t="shared" si="8"/>
        <v>0</v>
      </c>
      <c r="N14" s="40">
        <f t="shared" ca="1" si="8"/>
        <v>317217.08999999997</v>
      </c>
      <c r="O14" s="43">
        <f t="shared" ca="1" si="1"/>
        <v>7.5887240793366484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391800</v>
      </c>
      <c r="M16" s="40">
        <f t="shared" si="10"/>
        <v>0</v>
      </c>
      <c r="N16" s="40">
        <f t="shared" ca="1" si="10"/>
        <v>391800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3768875</v>
      </c>
      <c r="M18" s="25">
        <f t="shared" ca="1" si="11"/>
        <v>1859955</v>
      </c>
      <c r="N18" s="25">
        <f t="shared" ca="1" si="11"/>
        <v>1506516</v>
      </c>
      <c r="O18" s="24">
        <f t="shared" ref="O18:O20" ca="1" si="12">IF(L18&gt;0,N18*100/L18,0)</f>
        <v>39.972564757387815</v>
      </c>
      <c r="P18" s="24">
        <f t="shared" ref="P18:P26" ca="1" si="13">IF(M18&gt;0,N18*100/M18,0)</f>
        <v>80.997443486535971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3768875</v>
      </c>
      <c r="M20" s="32">
        <f t="shared" ca="1" si="15"/>
        <v>1859955</v>
      </c>
      <c r="N20" s="32">
        <f t="shared" ca="1" si="15"/>
        <v>1506516</v>
      </c>
      <c r="O20" s="31">
        <f t="shared" ca="1" si="12"/>
        <v>39.972564757387815</v>
      </c>
      <c r="P20" s="31">
        <f t="shared" ca="1" si="13"/>
        <v>80.997443486535971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3377075</v>
      </c>
      <c r="M22" s="44">
        <f t="shared" ca="1" si="18"/>
        <v>1859955</v>
      </c>
      <c r="N22" s="43">
        <f t="shared" ca="1" si="18"/>
        <v>1114716</v>
      </c>
      <c r="O22" s="43">
        <f t="shared" ca="1" si="17"/>
        <v>33.008328213024583</v>
      </c>
      <c r="P22" s="43">
        <f t="shared" ca="1" si="13"/>
        <v>59.932417719783544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1732200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1644875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391800</v>
      </c>
      <c r="M26" s="52">
        <f t="shared" si="22"/>
        <v>0</v>
      </c>
      <c r="N26" s="52">
        <f t="shared" ca="1" si="22"/>
        <v>391800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2535236</v>
      </c>
      <c r="M28" s="25">
        <f t="shared" si="23"/>
        <v>0</v>
      </c>
      <c r="N28" s="25">
        <f t="shared" ca="1" si="23"/>
        <v>317217.08999999997</v>
      </c>
      <c r="O28" s="24">
        <f t="shared" ref="O28:O30" ca="1" si="24">IF(L28&gt;0,N28*100/L28,0)</f>
        <v>12.512329818604657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2535236</v>
      </c>
      <c r="M30" s="32">
        <f t="shared" si="27"/>
        <v>0</v>
      </c>
      <c r="N30" s="32">
        <f t="shared" ca="1" si="27"/>
        <v>317217.08999999997</v>
      </c>
      <c r="O30" s="31">
        <f t="shared" ca="1" si="24"/>
        <v>12.512329818604657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2535236</v>
      </c>
      <c r="M32" s="43">
        <f t="shared" si="30"/>
        <v>0</v>
      </c>
      <c r="N32" s="43">
        <f t="shared" ca="1" si="30"/>
        <v>317217.08999999997</v>
      </c>
      <c r="O32" s="43">
        <f t="shared" ca="1" si="29"/>
        <v>12.512329818604657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2535236</v>
      </c>
      <c r="M34" s="43">
        <f t="shared" si="32"/>
        <v>0</v>
      </c>
      <c r="N34" s="43">
        <f t="shared" ca="1" si="32"/>
        <v>317217.08999999997</v>
      </c>
      <c r="O34" s="43">
        <f t="shared" ca="1" si="29"/>
        <v>12.512329818604657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3768875</v>
      </c>
      <c r="M37" s="57">
        <f t="shared" ca="1" si="33"/>
        <v>1859955</v>
      </c>
      <c r="N37" s="57">
        <f t="shared" ca="1" si="33"/>
        <v>1506516</v>
      </c>
      <c r="O37" s="58">
        <f t="shared" ca="1" si="29"/>
        <v>39.972564757387815</v>
      </c>
      <c r="P37" s="58">
        <f t="shared" ca="1" si="25"/>
        <v>80.997443486535971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811700</v>
      </c>
      <c r="M41" s="81">
        <f t="shared" ca="1" si="34"/>
        <v>309900</v>
      </c>
      <c r="N41" s="81">
        <f t="shared" ca="1" si="34"/>
        <v>395120</v>
      </c>
      <c r="O41" s="80">
        <f t="shared" ref="O41:O43" ca="1" si="35">IF(L41&gt;0,N41*100/L41,0)</f>
        <v>48.678083035604288</v>
      </c>
      <c r="P41" s="80">
        <f t="shared" ref="P41:P43" ca="1" si="36">IF(M41&gt;0,N41*100/M41,0)</f>
        <v>127.49919328815747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811700</v>
      </c>
      <c r="M43" s="81">
        <f t="shared" ca="1" si="38"/>
        <v>309900</v>
      </c>
      <c r="N43" s="81">
        <f t="shared" ca="1" si="38"/>
        <v>395120</v>
      </c>
      <c r="O43" s="80">
        <f t="shared" ca="1" si="35"/>
        <v>48.678083035604288</v>
      </c>
      <c r="P43" s="80">
        <f t="shared" ca="1" si="36"/>
        <v>127.49919328815747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619700</v>
      </c>
      <c r="M45" s="93">
        <f ca="1">IFERROR(__xludf.DUMMYFUNCTION("IMPORTRANGE(""https://docs.google.com/spreadsheets/d/1Yj_ptqi66GCucihVvJfMjLAmec39IyEx_6qawtMGysU/edit?usp=sharing"",""สบก!Q26"")"),309900)</f>
        <v>309900</v>
      </c>
      <c r="N45" s="93">
        <f ca="1">IFERROR(__xludf.DUMMYFUNCTION("IMPORTRANGE(""https://docs.google.com/spreadsheets/d/1Yj_ptqi66GCucihVvJfMjLAmec39IyEx_6qawtMGysU/edit?usp=sharing"",""สบก!R26"")"),203120)</f>
        <v>203120</v>
      </c>
      <c r="O45" s="94">
        <f ca="1">IF(L45&gt;0,N45*100/L45,0)</f>
        <v>32.777150233984187</v>
      </c>
      <c r="P45" s="94">
        <f ca="1">IF(M45&gt;0,N45*100/M45,0)</f>
        <v>65.543723781865111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IFERROR(__xludf.DUMMYFUNCTION("IMPORTRANGE(""https://docs.google.com/spreadsheets/d/1Yj_ptqi66GCucihVvJfMjLAmec39IyEx_6qawtMGysU/edit?usp=sharing"",""สบก!M26"")"),619700)</f>
        <v>619700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IFERROR(__xludf.DUMMYFUNCTION("IMPORTRANGE(""https://docs.google.com/spreadsheets/d/1Yj_ptqi66GCucihVvJfMjLAmec39IyEx_6qawtMGysU/edit?usp=sharing"",""สบก!N26"")"),0)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IFERROR(__xludf.DUMMYFUNCTION("IMPORTRANGE(""https://docs.google.com/spreadsheets/d/1Yj_ptqi66GCucihVvJfMjLAmec39IyEx_6qawtMGysU/edit?usp=sharing"",""สบก!O26"")"),192000)</f>
        <v>192000</v>
      </c>
      <c r="M49" s="103"/>
      <c r="N49" s="93">
        <f ca="1">IFERROR(__xludf.DUMMYFUNCTION("IMPORTRANGE(""https://docs.google.com/spreadsheets/d/1Yj_ptqi66GCucihVvJfMjLAmec39IyEx_6qawtMGysU/edit?usp=sharing"",""สบก!S26"")"),192000)</f>
        <v>192000</v>
      </c>
      <c r="O49" s="103">
        <f ca="1">IF(L49&gt;0,N49*100/L49,0)</f>
        <v>100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456000</v>
      </c>
      <c r="M53" s="127">
        <f t="shared" ca="1" si="39"/>
        <v>241500</v>
      </c>
      <c r="N53" s="127">
        <f t="shared" ca="1" si="39"/>
        <v>177657</v>
      </c>
      <c r="O53" s="126">
        <f t="shared" ref="O53:O55" ca="1" si="40">IF(L53&gt;0,N53*100/L53,0)</f>
        <v>38.959868421052633</v>
      </c>
      <c r="P53" s="126">
        <f t="shared" ref="P53:P55" ca="1" si="41">IF(M53&gt;0,N53*100/M53,0)</f>
        <v>73.563975155279508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456000</v>
      </c>
      <c r="M55" s="127">
        <f t="shared" ca="1" si="43"/>
        <v>241500</v>
      </c>
      <c r="N55" s="127">
        <f t="shared" ca="1" si="43"/>
        <v>177657</v>
      </c>
      <c r="O55" s="126">
        <f t="shared" ca="1" si="40"/>
        <v>38.959868421052633</v>
      </c>
      <c r="P55" s="126">
        <f t="shared" ca="1" si="41"/>
        <v>73.563975155279508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456000</v>
      </c>
      <c r="M57" s="93">
        <f ca="1">IFERROR(__xludf.DUMMYFUNCTION("IMPORTRANGE(""https://docs.google.com/spreadsheets/d/1Yj_ptqi66GCucihVvJfMjLAmec39IyEx_6qawtMGysU/edit?usp=sharing"",""สบก!Z26"")"),241500)</f>
        <v>241500</v>
      </c>
      <c r="N57" s="93">
        <f ca="1">IFERROR(__xludf.DUMMYFUNCTION("IMPORTRANGE(""https://docs.google.com/spreadsheets/d/1Yj_ptqi66GCucihVvJfMjLAmec39IyEx_6qawtMGysU/edit?usp=sharing"",""สบก!AA26"")"),177657)</f>
        <v>177657</v>
      </c>
      <c r="O57" s="94">
        <f ca="1">IF(L57&gt;0,N57*100/L57,0)</f>
        <v>38.959868421052633</v>
      </c>
      <c r="P57" s="94">
        <f ca="1">IF(M57&gt;0,N57*100/M57,0)</f>
        <v>73.563975155279508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IFERROR(__xludf.DUMMYFUNCTION("IMPORTRANGE(""https://docs.google.com/spreadsheets/d/1Yj_ptqi66GCucihVvJfMjLAmec39IyEx_6qawtMGysU/edit?usp=sharing"",""สบก!V26"")"),456000)</f>
        <v>456000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IFERROR(__xludf.DUMMYFUNCTION("IMPORTRANGE(""https://docs.google.com/spreadsheets/d/1Yj_ptqi66GCucihVvJfMjLAmec39IyEx_6qawtMGysU/edit?usp=sharing"",""สบก!W26"")"),0)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IFERROR(__xludf.DUMMYFUNCTION("IMPORTRANGE(""https://docs.google.com/spreadsheets/d/1Yj_ptqi66GCucihVvJfMjLAmec39IyEx_6qawtMGysU/edit?usp=sharing"",""สบก!X26"")"),0)</f>
        <v>0</v>
      </c>
      <c r="M61" s="103"/>
      <c r="N61" s="93">
        <f ca="1">IFERROR(__xludf.DUMMYFUNCTION("IMPORTRANGE(""https://docs.google.com/spreadsheets/d/1Yj_ptqi66GCucihVvJfMjLAmec39IyEx_6qawtMGysU/edit?usp=sharing"",""สบก!AB26"")"),0)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IFERROR(__xludf.DUMMYFUNCTION("IMPORTRANGE(""https://docs.google.com/spreadsheets/d/11923uPwbBZFjjGgGUA6NLw09EwE0CqkOc4q9oUmW1yo/edit?usp=sharing"",""พะเยา!I9"")"),1)</f>
        <v>1</v>
      </c>
      <c r="J64" s="148">
        <f ca="1">IFERROR(__xludf.DUMMYFUNCTION("IMPORTRANGE(""https://docs.google.com/spreadsheets/d/11923uPwbBZFjjGgGUA6NLw09EwE0CqkOc4q9oUmW1yo/edit?usp=sharing"",""พะเยา!J9"")"),0)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IFERROR(__xludf.DUMMYFUNCTION("IMPORTRANGE(""https://docs.google.com/spreadsheets/d/11923uPwbBZFjjGgGUA6NLw09EwE0CqkOc4q9oUmW1yo/edit?usp=sharing"",""พะเยา!I10"")"),30)</f>
        <v>30</v>
      </c>
      <c r="J65" s="148">
        <f ca="1">IFERROR(__xludf.DUMMYFUNCTION("IMPORTRANGE(""https://docs.google.com/spreadsheets/d/11923uPwbBZFjjGgGUA6NLw09EwE0CqkOc4q9oUmW1yo/edit?usp=sharing"",""พะเยา!J10"")"),0)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382000</v>
      </c>
      <c r="M66" s="158">
        <f t="shared" ca="1" si="45"/>
        <v>227620</v>
      </c>
      <c r="N66" s="158">
        <f t="shared" ca="1" si="45"/>
        <v>42114</v>
      </c>
      <c r="O66" s="157">
        <f t="shared" ref="O66:O68" ca="1" si="46">IF(L66&gt;0,N66*100/L66,0)</f>
        <v>11.024607329842931</v>
      </c>
      <c r="P66" s="157">
        <f t="shared" ref="P66:P68" ca="1" si="47">IF(M66&gt;0,N66*100/M66,0)</f>
        <v>18.501889113434672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382000</v>
      </c>
      <c r="M68" s="163">
        <f t="shared" ca="1" si="49"/>
        <v>227620</v>
      </c>
      <c r="N68" s="163">
        <f t="shared" ca="1" si="49"/>
        <v>42114</v>
      </c>
      <c r="O68" s="162">
        <f t="shared" ca="1" si="46"/>
        <v>11.024607329842931</v>
      </c>
      <c r="P68" s="162">
        <f t="shared" ca="1" si="47"/>
        <v>18.501889113434672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382000</v>
      </c>
      <c r="M70" s="176">
        <f ca="1">IFERROR(__xludf.DUMMYFUNCTION("IMPORTRANGE(""https://docs.google.com/spreadsheets/d/1Yj_ptqi66GCucihVvJfMjLAmec39IyEx_6qawtMGysU/edit?usp=sharing"",""สบก!AI26"")"),227620)</f>
        <v>227620</v>
      </c>
      <c r="N70" s="177">
        <f ca="1">IFERROR(__xludf.DUMMYFUNCTION("IMPORTRANGE(""https://docs.google.com/spreadsheets/d/1Yj_ptqi66GCucihVvJfMjLAmec39IyEx_6qawtMGysU/edit?usp=sharing"",""สบก!AJ26"")"),42114)</f>
        <v>42114</v>
      </c>
      <c r="O70" s="178">
        <f ca="1">IF(L70&gt;0,N70*100/L70,0)</f>
        <v>11.024607329842931</v>
      </c>
      <c r="P70" s="178">
        <f ca="1">IF(M70&gt;0,N70*100/M70,0)</f>
        <v>18.501889113434672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IFERROR(__xludf.DUMMYFUNCTION("IMPORTRANGE(""https://docs.google.com/spreadsheets/d/1Yj_ptqi66GCucihVvJfMjLAmec39IyEx_6qawtMGysU/edit?usp=sharing"",""สบก!AE26"")"),0)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IFERROR(__xludf.DUMMYFUNCTION("IMPORTRANGE(""https://docs.google.com/spreadsheets/d/1Yj_ptqi66GCucihVvJfMjLAmec39IyEx_6qawtMGysU/edit?usp=sharing"",""สบก!AF26"")"),382000)</f>
        <v>382000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IFERROR(__xludf.DUMMYFUNCTION("IMPORTRANGE(""https://docs.google.com/spreadsheets/d/1Yj_ptqi66GCucihVvJfMjLAmec39IyEx_6qawtMGysU/edit?usp=sharing"",""สบก!AG26"")"),0)</f>
        <v>0</v>
      </c>
      <c r="M74" s="103"/>
      <c r="N74" s="93">
        <f ca="1">IFERROR(__xludf.DUMMYFUNCTION("IMPORTRANGE(""https://docs.google.com/spreadsheets/d/1Yj_ptqi66GCucihVvJfMjLAmec39IyEx_6qawtMGysU/edit?usp=sharing"",""สบก!AK26"")"),0)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IFERROR(__xludf.DUMMYFUNCTION("IMPORTRANGE(""https://docs.google.com/spreadsheets/d/11923uPwbBZFjjGgGUA6NLw09EwE0CqkOc4q9oUmW1yo/edit?usp=sharing"",""พะเยา!J16"")"),0)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IFERROR(__xludf.DUMMYFUNCTION("IMPORTRANGE(""https://docs.google.com/spreadsheets/d/11923uPwbBZFjjGgGUA6NLw09EwE0CqkOc4q9oUmW1yo/edit?usp=sharing"",""พะเยา!J17"")"),1)</f>
        <v>1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IFERROR(__xludf.DUMMYFUNCTION("IMPORTRANGE(""https://docs.google.com/spreadsheets/d/11923uPwbBZFjjGgGUA6NLw09EwE0CqkOc4q9oUmW1yo/edit?usp=sharing"",""พะเยา!J18"")"),1)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IFERROR(__xludf.DUMMYFUNCTION("IMPORTRANGE(""https://docs.google.com/spreadsheets/d/11923uPwbBZFjjGgGUA6NLw09EwE0CqkOc4q9oUmW1yo/edit?usp=sharing"",""พะเยา!J19"")"),1)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IFERROR(__xludf.DUMMYFUNCTION("IMPORTRANGE(""https://docs.google.com/spreadsheets/d/11923uPwbBZFjjGgGUA6NLw09EwE0CqkOc4q9oUmW1yo/edit?usp=sharing"",""พะเยา!I20"")"),1)</f>
        <v>1</v>
      </c>
      <c r="J80" s="210">
        <f ca="1">IFERROR(__xludf.DUMMYFUNCTION("IMPORTRANGE(""https://docs.google.com/spreadsheets/d/11923uPwbBZFjjGgGUA6NLw09EwE0CqkOc4q9oUmW1yo/edit?usp=sharing"",""พะเยา!J20"")"),0)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IFERROR(__xludf.DUMMYFUNCTION("IMPORTRANGE(""https://docs.google.com/spreadsheets/d/11923uPwbBZFjjGgGUA6NLw09EwE0CqkOc4q9oUmW1yo/edit?usp=sharing"",""พะเยา!I21"")"),30)</f>
        <v>30</v>
      </c>
      <c r="J81" s="210">
        <f ca="1">IFERROR(__xludf.DUMMYFUNCTION("IMPORTRANGE(""https://docs.google.com/spreadsheets/d/11923uPwbBZFjjGgGUA6NLw09EwE0CqkOc4q9oUmW1yo/edit?usp=sharing"",""พะเยา!J21"")"),0)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IFERROR(__xludf.DUMMYFUNCTION("IMPORTRANGE(""https://docs.google.com/spreadsheets/d/11923uPwbBZFjjGgGUA6NLw09EwE0CqkOc4q9oUmW1yo/edit?usp=sharing"",""พะเยา!I22"")"),1)</f>
        <v>1</v>
      </c>
      <c r="J82" s="213">
        <f ca="1">IFERROR(__xludf.DUMMYFUNCTION("IMPORTRANGE(""https://docs.google.com/spreadsheets/d/11923uPwbBZFjjGgGUA6NLw09EwE0CqkOc4q9oUmW1yo/edit?usp=sharing"",""พะเยา!J22"")"),0)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IFERROR(__xludf.DUMMYFUNCTION("IMPORTRANGE(""https://docs.google.com/spreadsheets/d/11923uPwbBZFjjGgGUA6NLw09EwE0CqkOc4q9oUmW1yo/edit?usp=sharing"",""พะเยา!I23"")"),30)</f>
        <v>30</v>
      </c>
      <c r="J83" s="213">
        <f ca="1">IFERROR(__xludf.DUMMYFUNCTION("IMPORTRANGE(""https://docs.google.com/spreadsheets/d/11923uPwbBZFjjGgGUA6NLw09EwE0CqkOc4q9oUmW1yo/edit?usp=sharing"",""พะเยา!J23"")"),0)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IFERROR(__xludf.DUMMYFUNCTION("IMPORTRANGE(""https://docs.google.com/spreadsheets/d/11923uPwbBZFjjGgGUA6NLw09EwE0CqkOc4q9oUmW1yo/edit?usp=sharing"",""พะเยา!I24"")"),0)</f>
        <v>0</v>
      </c>
      <c r="J84" s="198">
        <f ca="1">IFERROR(__xludf.DUMMYFUNCTION("IMPORTRANGE(""https://docs.google.com/spreadsheets/d/11923uPwbBZFjjGgGUA6NLw09EwE0CqkOc4q9oUmW1yo/edit?usp=sharing"",""พะเยา!J24"")"),0)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IFERROR(__xludf.DUMMYFUNCTION("IMPORTRANGE(""https://docs.google.com/spreadsheets/d/11923uPwbBZFjjGgGUA6NLw09EwE0CqkOc4q9oUmW1yo/edit?usp=sharing"",""พะเยา!I25"")"),0)</f>
        <v>0</v>
      </c>
      <c r="J85" s="198">
        <f ca="1">IFERROR(__xludf.DUMMYFUNCTION("IMPORTRANGE(""https://docs.google.com/spreadsheets/d/11923uPwbBZFjjGgGUA6NLw09EwE0CqkOc4q9oUmW1yo/edit?usp=sharing"",""พะเยา!J25"")"),0)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IFERROR(__xludf.DUMMYFUNCTION("IMPORTRANGE(""https://docs.google.com/spreadsheets/d/11923uPwbBZFjjGgGUA6NLw09EwE0CqkOc4q9oUmW1yo/edit?usp=sharing"",""พะเยา!I26"")"),0)</f>
        <v>0</v>
      </c>
      <c r="J86" s="213">
        <f ca="1">IFERROR(__xludf.DUMMYFUNCTION("IMPORTRANGE(""https://docs.google.com/spreadsheets/d/11923uPwbBZFjjGgGUA6NLw09EwE0CqkOc4q9oUmW1yo/edit?usp=sharing"",""พะเยา!J26"")"),0)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IFERROR(__xludf.DUMMYFUNCTION("IMPORTRANGE(""https://docs.google.com/spreadsheets/d/11923uPwbBZFjjGgGUA6NLw09EwE0CqkOc4q9oUmW1yo/edit?usp=sharing"",""พะเยา!I27"")"),0)</f>
        <v>0</v>
      </c>
      <c r="J87" s="213">
        <f ca="1">IFERROR(__xludf.DUMMYFUNCTION("IMPORTRANGE(""https://docs.google.com/spreadsheets/d/11923uPwbBZFjjGgGUA6NLw09EwE0CqkOc4q9oUmW1yo/edit?usp=sharing"",""พะเยา!J27"")"),0)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IFERROR(__xludf.DUMMYFUNCTION("IMPORTRANGE(""https://docs.google.com/spreadsheets/d/11923uPwbBZFjjGgGUA6NLw09EwE0CqkOc4q9oUmW1yo/edit?usp=sharing"",""พะเยา!I28"")"),30)</f>
        <v>30</v>
      </c>
      <c r="J88" s="213">
        <f ca="1">IFERROR(__xludf.DUMMYFUNCTION("IMPORTRANGE(""https://docs.google.com/spreadsheets/d/11923uPwbBZFjjGgGUA6NLw09EwE0CqkOc4q9oUmW1yo/edit?usp=sharing"",""พะเยา!J28"")"),0)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IFERROR(__xludf.DUMMYFUNCTION("IMPORTRANGE(""https://docs.google.com/spreadsheets/d/11923uPwbBZFjjGgGUA6NLw09EwE0CqkOc4q9oUmW1yo/edit?usp=sharing"",""พะเยา!J29"")"),0)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IFERROR(__xludf.DUMMYFUNCTION("IMPORTRANGE(""https://docs.google.com/spreadsheets/d/11923uPwbBZFjjGgGUA6NLw09EwE0CqkOc4q9oUmW1yo/edit?usp=sharing"",""พะเยา!J30"")"),0)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IFERROR(__xludf.DUMMYFUNCTION("IMPORTRANGE(""https://docs.google.com/spreadsheets/d/11923uPwbBZFjjGgGUA6NLw09EwE0CqkOc4q9oUmW1yo/edit?usp=sharing"",""พะเยา!I32"")"),7)</f>
        <v>7</v>
      </c>
      <c r="J92" s="148">
        <f ca="1">IFERROR(__xludf.DUMMYFUNCTION("IMPORTRANGE(""https://docs.google.com/spreadsheets/d/11923uPwbBZFjjGgGUA6NLw09EwE0CqkOc4q9oUmW1yo/edit?usp=sharing"",""พะเยา!J32"")"),7)</f>
        <v>7</v>
      </c>
      <c r="K92" s="149">
        <f t="shared" ref="K92:K93" ca="1" si="51">IF(I92&gt;0,J92*100/I92,0)</f>
        <v>100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IFERROR(__xludf.DUMMYFUNCTION("IMPORTRANGE(""https://docs.google.com/spreadsheets/d/11923uPwbBZFjjGgGUA6NLw09EwE0CqkOc4q9oUmW1yo/edit?usp=sharing"",""พะเยา!I33"")"),2)</f>
        <v>2</v>
      </c>
      <c r="J93" s="148">
        <f ca="1">IFERROR(__xludf.DUMMYFUNCTION("IMPORTRANGE(""https://docs.google.com/spreadsheets/d/11923uPwbBZFjjGgGUA6NLw09EwE0CqkOc4q9oUmW1yo/edit?usp=sharing"",""พะเยา!J33"")"),0)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318960</v>
      </c>
      <c r="M94" s="158">
        <f t="shared" ca="1" si="52"/>
        <v>80790</v>
      </c>
      <c r="N94" s="158">
        <f t="shared" ca="1" si="52"/>
        <v>208550</v>
      </c>
      <c r="O94" s="157">
        <f t="shared" ref="O94:O96" ca="1" si="53">IF(L94&gt;0,N94*100/L94,0)</f>
        <v>65.384374216202659</v>
      </c>
      <c r="P94" s="157">
        <f t="shared" ref="P94:P96" ca="1" si="54">IF(M94&gt;0,N94*100/M94,0)</f>
        <v>258.13838346329993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318960</v>
      </c>
      <c r="M96" s="163">
        <f t="shared" ca="1" si="56"/>
        <v>80790</v>
      </c>
      <c r="N96" s="163">
        <f t="shared" ca="1" si="56"/>
        <v>208550</v>
      </c>
      <c r="O96" s="162">
        <f t="shared" ca="1" si="53"/>
        <v>65.384374216202659</v>
      </c>
      <c r="P96" s="162">
        <f t="shared" ca="1" si="54"/>
        <v>258.13838346329993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134160</v>
      </c>
      <c r="M98" s="176">
        <f ca="1">IFERROR(__xludf.DUMMYFUNCTION("IMPORTRANGE(""https://docs.google.com/spreadsheets/d/1Yj_ptqi66GCucihVvJfMjLAmec39IyEx_6qawtMGysU/edit?usp=sharing"",""สบก!AR26"")"),80790)</f>
        <v>80790</v>
      </c>
      <c r="N98" s="177">
        <f ca="1">IFERROR(__xludf.DUMMYFUNCTION("IMPORTRANGE(""https://docs.google.com/spreadsheets/d/1Yj_ptqi66GCucihVvJfMjLAmec39IyEx_6qawtMGysU/edit?usp=sharing"",""สบก!AS26"")"),23750)</f>
        <v>23750</v>
      </c>
      <c r="O98" s="178">
        <f ca="1">IF(L98&gt;0,N98*100/L98,0)</f>
        <v>17.702742993440669</v>
      </c>
      <c r="P98" s="178">
        <f ca="1">IF(M98&gt;0,N98*100/M98,0)</f>
        <v>29.397202624087139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IFERROR(__xludf.DUMMYFUNCTION("IMPORTRANGE(""https://docs.google.com/spreadsheets/d/1Yj_ptqi66GCucihVvJfMjLAmec39IyEx_6qawtMGysU/edit?usp=sharing"",""สบก!AN26"")"),0)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IFERROR(__xludf.DUMMYFUNCTION("IMPORTRANGE(""https://docs.google.com/spreadsheets/d/1Yj_ptqi66GCucihVvJfMjLAmec39IyEx_6qawtMGysU/edit?usp=sharing"",""สบก!AO26"")"),134160)</f>
        <v>134160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IFERROR(__xludf.DUMMYFUNCTION("IMPORTRANGE(""https://docs.google.com/spreadsheets/d/1Yj_ptqi66GCucihVvJfMjLAmec39IyEx_6qawtMGysU/edit?usp=sharing"",""สบก!AP26"")"),184800)</f>
        <v>184800</v>
      </c>
      <c r="M102" s="103"/>
      <c r="N102" s="93">
        <f ca="1">IFERROR(__xludf.DUMMYFUNCTION("IMPORTRANGE(""https://docs.google.com/spreadsheets/d/1Yj_ptqi66GCucihVvJfMjLAmec39IyEx_6qawtMGysU/edit?usp=sharing"",""สบก!AT26"")"),184800)</f>
        <v>184800</v>
      </c>
      <c r="O102" s="103">
        <f ca="1">IF(L102&gt;0,N102*100/L102,0)</f>
        <v>100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IFERROR(__xludf.DUMMYFUNCTION("IMPORTRANGE(""https://docs.google.com/spreadsheets/d/11923uPwbBZFjjGgGUA6NLw09EwE0CqkOc4q9oUmW1yo/edit?usp=sharing"",""พะเยา!J39"")"),0)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IFERROR(__xludf.DUMMYFUNCTION("IMPORTRANGE(""https://docs.google.com/spreadsheets/d/11923uPwbBZFjjGgGUA6NLw09EwE0CqkOc4q9oUmW1yo/edit?usp=sharing"",""พะเยา!J40"")"),1)</f>
        <v>1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IFERROR(__xludf.DUMMYFUNCTION("IMPORTRANGE(""https://docs.google.com/spreadsheets/d/11923uPwbBZFjjGgGUA6NLw09EwE0CqkOc4q9oUmW1yo/edit?usp=sharing"",""พะเยา!J41"")"),1)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IFERROR(__xludf.DUMMYFUNCTION("IMPORTRANGE(""https://docs.google.com/spreadsheets/d/11923uPwbBZFjjGgGUA6NLw09EwE0CqkOc4q9oUmW1yo/edit?usp=sharing"",""พะเยา!J42"")"),1)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IFERROR(__xludf.DUMMYFUNCTION("IMPORTRANGE(""https://docs.google.com/spreadsheets/d/11923uPwbBZFjjGgGUA6NLw09EwE0CqkOc4q9oUmW1yo/edit?usp=sharing"",""พะเยา!I43"")"),1)</f>
        <v>1</v>
      </c>
      <c r="J108" s="213">
        <f ca="1">IFERROR(__xludf.DUMMYFUNCTION("IMPORTRANGE(""https://docs.google.com/spreadsheets/d/11923uPwbBZFjjGgGUA6NLw09EwE0CqkOc4q9oUmW1yo/edit?usp=sharing"",""พะเยา!J43"")"),1)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IFERROR(__xludf.DUMMYFUNCTION("IMPORTRANGE(""https://docs.google.com/spreadsheets/d/11923uPwbBZFjjGgGUA6NLw09EwE0CqkOc4q9oUmW1yo/edit?usp=sharing"",""พะเยา!I44"")"),7)</f>
        <v>7</v>
      </c>
      <c r="J109" s="213">
        <f ca="1">IFERROR(__xludf.DUMMYFUNCTION("IMPORTRANGE(""https://docs.google.com/spreadsheets/d/11923uPwbBZFjjGgGUA6NLw09EwE0CqkOc4q9oUmW1yo/edit?usp=sharing"",""พะเยา!J44"")"),7)</f>
        <v>7</v>
      </c>
      <c r="K109" s="233">
        <f t="shared" ca="1" si="57"/>
        <v>100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IFERROR(__xludf.DUMMYFUNCTION("IMPORTRANGE(""https://docs.google.com/spreadsheets/d/11923uPwbBZFjjGgGUA6NLw09EwE0CqkOc4q9oUmW1yo/edit?usp=sharing"",""พะเยา!I45"")"),7)</f>
        <v>7</v>
      </c>
      <c r="J110" s="213">
        <f ca="1">IFERROR(__xludf.DUMMYFUNCTION("IMPORTRANGE(""https://docs.google.com/spreadsheets/d/11923uPwbBZFjjGgGUA6NLw09EwE0CqkOc4q9oUmW1yo/edit?usp=sharing"",""พะเยา!J45"")"),7)</f>
        <v>7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IFERROR(__xludf.DUMMYFUNCTION("IMPORTRANGE(""https://docs.google.com/spreadsheets/d/11923uPwbBZFjjGgGUA6NLw09EwE0CqkOc4q9oUmW1yo/edit?usp=sharing"",""พะเยา!I46"")"),7)</f>
        <v>7</v>
      </c>
      <c r="J111" s="213">
        <f ca="1">IFERROR(__xludf.DUMMYFUNCTION("IMPORTRANGE(""https://docs.google.com/spreadsheets/d/11923uPwbBZFjjGgGUA6NLw09EwE0CqkOc4q9oUmW1yo/edit?usp=sharing"",""พะเยา!J46"")"),0)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IFERROR(__xludf.DUMMYFUNCTION("IMPORTRANGE(""https://docs.google.com/spreadsheets/d/11923uPwbBZFjjGgGUA6NLw09EwE0CqkOc4q9oUmW1yo/edit?usp=sharing"",""พะเยา!I47"")"),7)</f>
        <v>7</v>
      </c>
      <c r="J112" s="213">
        <f ca="1">IFERROR(__xludf.DUMMYFUNCTION("IMPORTRANGE(""https://docs.google.com/spreadsheets/d/11923uPwbBZFjjGgGUA6NLw09EwE0CqkOc4q9oUmW1yo/edit?usp=sharing"",""พะเยา!J47"")"),0)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IFERROR(__xludf.DUMMYFUNCTION("IMPORTRANGE(""https://docs.google.com/spreadsheets/d/11923uPwbBZFjjGgGUA6NLw09EwE0CqkOc4q9oUmW1yo/edit?usp=sharing"",""พะเยา!I48"")"),2)</f>
        <v>2</v>
      </c>
      <c r="J113" s="213">
        <f ca="1">IFERROR(__xludf.DUMMYFUNCTION("IMPORTRANGE(""https://docs.google.com/spreadsheets/d/11923uPwbBZFjjGgGUA6NLw09EwE0CqkOc4q9oUmW1yo/edit?usp=sharing"",""พะเยา!J48"")"),0)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IFERROR(__xludf.DUMMYFUNCTION("IMPORTRANGE(""https://docs.google.com/spreadsheets/d/11923uPwbBZFjjGgGUA6NLw09EwE0CqkOc4q9oUmW1yo/edit?usp=sharing"",""พะเยา!J49"")"),0)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IFERROR(__xludf.DUMMYFUNCTION("IMPORTRANGE(""https://docs.google.com/spreadsheets/d/11923uPwbBZFjjGgGUA6NLw09EwE0CqkOc4q9oUmW1yo/edit?usp=sharing"",""พะเยา!J50"")"),0)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IFERROR(__xludf.DUMMYFUNCTION("IMPORTRANGE(""https://docs.google.com/spreadsheets/d/11923uPwbBZFjjGgGUA6NLw09EwE0CqkOc4q9oUmW1yo/edit?usp=sharing"",""พะเยา!I52"")"),20)</f>
        <v>20</v>
      </c>
      <c r="J117" s="148">
        <f ca="1">IFERROR(__xludf.DUMMYFUNCTION("IMPORTRANGE(""https://docs.google.com/spreadsheets/d/11923uPwbBZFjjGgGUA6NLw09EwE0CqkOc4q9oUmW1yo/edit?usp=sharing"",""พะเยา!J52"")"),20)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38876</v>
      </c>
      <c r="O118" s="157">
        <f t="shared" ref="O118:O120" ca="1" si="59">IF(L118&gt;0,N118*100/L118,0)</f>
        <v>47.156720038816111</v>
      </c>
      <c r="P118" s="157">
        <f t="shared" ref="P118:P120" ca="1" si="60">IF(M118&gt;0,N118*100/M118,0)</f>
        <v>58.512944009632754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38876</v>
      </c>
      <c r="O120" s="162">
        <f t="shared" ca="1" si="59"/>
        <v>47.156720038816111</v>
      </c>
      <c r="P120" s="162">
        <f t="shared" ca="1" si="60"/>
        <v>58.512944009632754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IFERROR(__xludf.DUMMYFUNCTION("IMPORTRANGE(""https://docs.google.com/spreadsheets/d/1Yj_ptqi66GCucihVvJfMjLAmec39IyEx_6qawtMGysU/edit?usp=sharing"",""สบก!BA26"")"),66440)</f>
        <v>66440</v>
      </c>
      <c r="N122" s="177">
        <f ca="1">IFERROR(__xludf.DUMMYFUNCTION("IMPORTRANGE(""https://docs.google.com/spreadsheets/d/1Yj_ptqi66GCucihVvJfMjLAmec39IyEx_6qawtMGysU/edit?usp=sharing"",""สบก!BB26"")"),38876)</f>
        <v>38876</v>
      </c>
      <c r="O122" s="178">
        <f ca="1">IF(L122&gt;0,N122*100/L122,0)</f>
        <v>47.156720038816111</v>
      </c>
      <c r="P122" s="178">
        <f ca="1">IF(M122&gt;0,N122*100/M122,0)</f>
        <v>58.512944009632754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IFERROR(__xludf.DUMMYFUNCTION("IMPORTRANGE(""https://docs.google.com/spreadsheets/d/1Yj_ptqi66GCucihVvJfMjLAmec39IyEx_6qawtMGysU/edit?usp=sharing"",""สบก!AW26"")"),0)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IFERROR(__xludf.DUMMYFUNCTION("IMPORTRANGE(""https://docs.google.com/spreadsheets/d/1Yj_ptqi66GCucihVvJfMjLAmec39IyEx_6qawtMGysU/edit?usp=sharing"",""สบก!AX26"")"),82440)</f>
        <v>82440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IFERROR(__xludf.DUMMYFUNCTION("IMPORTRANGE(""https://docs.google.com/spreadsheets/d/1Yj_ptqi66GCucihVvJfMjLAmec39IyEx_6qawtMGysU/edit?usp=sharing"",""สบก!AY26"")"),0)</f>
        <v>0</v>
      </c>
      <c r="M126" s="103"/>
      <c r="N126" s="93">
        <f ca="1">IFERROR(__xludf.DUMMYFUNCTION("IMPORTRANGE(""https://docs.google.com/spreadsheets/d/1Yj_ptqi66GCucihVvJfMjLAmec39IyEx_6qawtMGysU/edit?usp=sharing"",""สบก!BC26"")"),0)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251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IFERROR(__xludf.DUMMYFUNCTION("IMPORTRANGE(""https://docs.google.com/spreadsheets/d/11923uPwbBZFjjGgGUA6NLw09EwE0CqkOc4q9oUmW1yo/edit?usp=sharing"",""พะเยา!J58"")"),0)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IFERROR(__xludf.DUMMYFUNCTION("IMPORTRANGE(""https://docs.google.com/spreadsheets/d/11923uPwbBZFjjGgGUA6NLw09EwE0CqkOc4q9oUmW1yo/edit?usp=sharing"",""พะเยา!J59"")"),1)</f>
        <v>1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IFERROR(__xludf.DUMMYFUNCTION("IMPORTRANGE(""https://docs.google.com/spreadsheets/d/11923uPwbBZFjjGgGUA6NLw09EwE0CqkOc4q9oUmW1yo/edit?usp=sharing"",""พะเยา!J60"")"),1)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IFERROR(__xludf.DUMMYFUNCTION("IMPORTRANGE(""https://docs.google.com/spreadsheets/d/11923uPwbBZFjjGgGUA6NLw09EwE0CqkOc4q9oUmW1yo/edit?usp=sharing"",""พะเยา!J61"")"),1)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IFERROR(__xludf.DUMMYFUNCTION("IMPORTRANGE(""https://docs.google.com/spreadsheets/d/11923uPwbBZFjjGgGUA6NLw09EwE0CqkOc4q9oUmW1yo/edit?usp=sharing"",""พะเยา!I62"")"),20)</f>
        <v>20</v>
      </c>
      <c r="J132" s="213">
        <f ca="1">IFERROR(__xludf.DUMMYFUNCTION("IMPORTRANGE(""https://docs.google.com/spreadsheets/d/11923uPwbBZFjjGgGUA6NLw09EwE0CqkOc4q9oUmW1yo/edit?usp=sharing"",""พะเยา!J62"")"),20)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IFERROR(__xludf.DUMMYFUNCTION("IMPORTRANGE(""https://docs.google.com/spreadsheets/d/11923uPwbBZFjjGgGUA6NLw09EwE0CqkOc4q9oUmW1yo/edit?usp=sharing"",""พะเยา!I63"")"),20)</f>
        <v>20</v>
      </c>
      <c r="J133" s="213">
        <f ca="1">IFERROR(__xludf.DUMMYFUNCTION("IMPORTRANGE(""https://docs.google.com/spreadsheets/d/11923uPwbBZFjjGgGUA6NLw09EwE0CqkOc4q9oUmW1yo/edit?usp=sharing"",""พะเยา!J63"")"),0)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IFERROR(__xludf.DUMMYFUNCTION("IMPORTRANGE(""https://docs.google.com/spreadsheets/d/11923uPwbBZFjjGgGUA6NLw09EwE0CqkOc4q9oUmW1yo/edit?usp=sharing"",""พะเยา!J64"")"),0)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IFERROR(__xludf.DUMMYFUNCTION("IMPORTRANGE(""https://docs.google.com/spreadsheets/d/11923uPwbBZFjjGgGUA6NLw09EwE0CqkOc4q9oUmW1yo/edit?usp=sharing"",""พะเยา!J65"")"),0)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IFERROR(__xludf.DUMMYFUNCTION("IMPORTRANGE(""https://docs.google.com/spreadsheets/d/11923uPwbBZFjjGgGUA6NLw09EwE0CqkOc4q9oUmW1yo/edit?usp=sharing"",""พะเยา!I68"")"),55)</f>
        <v>55</v>
      </c>
      <c r="J138" s="276">
        <f ca="1">IFERROR(__xludf.DUMMYFUNCTION("IMPORTRANGE(""https://docs.google.com/spreadsheets/d/11923uPwbBZFjjGgGUA6NLw09EwE0CqkOc4q9oUmW1yo/edit?usp=sharing"",""พะเยา!J68"")"),55)</f>
        <v>55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828600</v>
      </c>
      <c r="M140" s="158">
        <f t="shared" ca="1" si="64"/>
        <v>448950</v>
      </c>
      <c r="N140" s="158">
        <f t="shared" ca="1" si="64"/>
        <v>352072</v>
      </c>
      <c r="O140" s="157">
        <f t="shared" ref="O140:O142" ca="1" si="65">IF(L140&gt;0,N140*100/L140,0)</f>
        <v>42.489983104030898</v>
      </c>
      <c r="P140" s="157">
        <f t="shared" ref="P140:P142" ca="1" si="66">IF(M140&gt;0,N140*100/M140,0)</f>
        <v>78.42120503396815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828600</v>
      </c>
      <c r="M142" s="163">
        <f t="shared" ca="1" si="68"/>
        <v>448950</v>
      </c>
      <c r="N142" s="163">
        <f t="shared" ca="1" si="68"/>
        <v>352072</v>
      </c>
      <c r="O142" s="162">
        <f t="shared" ca="1" si="65"/>
        <v>42.489983104030898</v>
      </c>
      <c r="P142" s="162">
        <f t="shared" ca="1" si="66"/>
        <v>78.42120503396815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828600</v>
      </c>
      <c r="M144" s="176">
        <f ca="1">IFERROR(__xludf.DUMMYFUNCTION("IMPORTRANGE(""https://docs.google.com/spreadsheets/d/1Yj_ptqi66GCucihVvJfMjLAmec39IyEx_6qawtMGysU/edit?usp=sharing"",""สบก!BJ26"")"),448950)</f>
        <v>448950</v>
      </c>
      <c r="N144" s="177">
        <f ca="1">IFERROR(__xludf.DUMMYFUNCTION("IMPORTRANGE(""https://docs.google.com/spreadsheets/d/1Yj_ptqi66GCucihVvJfMjLAmec39IyEx_6qawtMGysU/edit?usp=sharing"",""สบก!BK26"")"),352072)</f>
        <v>352072</v>
      </c>
      <c r="O144" s="178">
        <f ca="1">IF(L144&gt;0,N144*100/L144,0)</f>
        <v>42.489983104030898</v>
      </c>
      <c r="P144" s="178">
        <f ca="1">IF(M144&gt;0,N144*100/M144,0)</f>
        <v>78.42120503396815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IFERROR(__xludf.DUMMYFUNCTION("IMPORTRANGE(""https://docs.google.com/spreadsheets/d/1Yj_ptqi66GCucihVvJfMjLAmec39IyEx_6qawtMGysU/edit?usp=sharing"",""สบก!BF26"")"),462100)</f>
        <v>462100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IFERROR(__xludf.DUMMYFUNCTION("IMPORTRANGE(""https://docs.google.com/spreadsheets/d/1Yj_ptqi66GCucihVvJfMjLAmec39IyEx_6qawtMGysU/edit?usp=sharing"",""สบก!BG26"")"),366500)</f>
        <v>366500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IFERROR(__xludf.DUMMYFUNCTION("IMPORTRANGE(""https://docs.google.com/spreadsheets/d/1Yj_ptqi66GCucihVvJfMjLAmec39IyEx_6qawtMGysU/edit?usp=sharing"",""สบก!BH26"")"),0)</f>
        <v>0</v>
      </c>
      <c r="M148" s="103"/>
      <c r="N148" s="93">
        <f ca="1">IFERROR(__xludf.DUMMYFUNCTION("IMPORTRANGE(""https://docs.google.com/spreadsheets/d/1Yj_ptqi66GCucihVvJfMjLAmec39IyEx_6qawtMGysU/edit?usp=sharing"",""สบก!BL26"")"),0)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IFERROR(__xludf.DUMMYFUNCTION("IMPORTRANGE(""https://docs.google.com/spreadsheets/d/11923uPwbBZFjjGgGUA6NLw09EwE0CqkOc4q9oUmW1yo/edit?usp=sharing"",""พะเยา!I74"")"),4)</f>
        <v>4</v>
      </c>
      <c r="J149" s="284">
        <f ca="1">IFERROR(__xludf.DUMMYFUNCTION("IMPORTRANGE(""https://docs.google.com/spreadsheets/d/11923uPwbBZFjjGgGUA6NLw09EwE0CqkOc4q9oUmW1yo/edit?usp=sharing"",""พะเยา!J74"")"),1)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IFERROR(__xludf.DUMMYFUNCTION("IMPORTRANGE(""https://docs.google.com/spreadsheets/d/11923uPwbBZFjjGgGUA6NLw09EwE0CqkOc4q9oUmW1yo/edit?usp=sharing"",""พะเยา!J79"")"),0)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IFERROR(__xludf.DUMMYFUNCTION("IMPORTRANGE(""https://docs.google.com/spreadsheets/d/11923uPwbBZFjjGgGUA6NLw09EwE0CqkOc4q9oUmW1yo/edit?usp=sharing"",""พะเยา!J80"")"),1)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IFERROR(__xludf.DUMMYFUNCTION("IMPORTRANGE(""https://docs.google.com/spreadsheets/d/11923uPwbBZFjjGgGUA6NLw09EwE0CqkOc4q9oUmW1yo/edit?usp=sharing"",""พะเยา!J81"")"),1)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IFERROR(__xludf.DUMMYFUNCTION("IMPORTRANGE(""https://docs.google.com/spreadsheets/d/11923uPwbBZFjjGgGUA6NLw09EwE0CqkOc4q9oUmW1yo/edit?usp=sharing"",""พะเยา!J82"")"),1)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IFERROR(__xludf.DUMMYFUNCTION("IMPORTRANGE(""https://docs.google.com/spreadsheets/d/11923uPwbBZFjjGgGUA6NLw09EwE0CqkOc4q9oUmW1yo/edit?usp=sharing"",""พะเยา!I83"")"),4)</f>
        <v>4</v>
      </c>
      <c r="J158" s="198">
        <f ca="1">IFERROR(__xludf.DUMMYFUNCTION("IMPORTRANGE(""https://docs.google.com/spreadsheets/d/11923uPwbBZFjjGgGUA6NLw09EwE0CqkOc4q9oUmW1yo/edit?usp=sharing"",""พะเยา!J83"")"),1)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IFERROR(__xludf.DUMMYFUNCTION("IMPORTRANGE(""https://docs.google.com/spreadsheets/d/11923uPwbBZFjjGgGUA6NLw09EwE0CqkOc4q9oUmW1yo/edit?usp=sharing"",""พะเยา!J84"")"),60)</f>
        <v>60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IFERROR(__xludf.DUMMYFUNCTION("IMPORTRANGE(""https://docs.google.com/spreadsheets/d/11923uPwbBZFjjGgGUA6NLw09EwE0CqkOc4q9oUmW1yo/edit?usp=sharing"",""พะเยา!J85"")"),60)</f>
        <v>60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IFERROR(__xludf.DUMMYFUNCTION("IMPORTRANGE(""https://docs.google.com/spreadsheets/d/11923uPwbBZFjjGgGUA6NLw09EwE0CqkOc4q9oUmW1yo/edit?usp=sharing"",""พะเยา!J86"")"),0)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IFERROR(__xludf.DUMMYFUNCTION("IMPORTRANGE(""https://docs.google.com/spreadsheets/d/11923uPwbBZFjjGgGUA6NLw09EwE0CqkOc4q9oUmW1yo/edit?usp=sharing"",""พะเยา!J87"")"),0)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IFERROR(__xludf.DUMMYFUNCTION("IMPORTRANGE(""https://docs.google.com/spreadsheets/d/11923uPwbBZFjjGgGUA6NLw09EwE0CqkOc4q9oUmW1yo/edit?usp=sharing"",""พะเยา!J88"")"),0)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IFERROR(__xludf.DUMMYFUNCTION("IMPORTRANGE(""https://docs.google.com/spreadsheets/d/11923uPwbBZFjjGgGUA6NLw09EwE0CqkOc4q9oUmW1yo/edit?usp=sharing"",""พะเยา!I89"")"),2)</f>
        <v>2</v>
      </c>
      <c r="J164" s="292">
        <f ca="1">IFERROR(__xludf.DUMMYFUNCTION("IMPORTRANGE(""https://docs.google.com/spreadsheets/d/11923uPwbBZFjjGgGUA6NLw09EwE0CqkOc4q9oUmW1yo/edit?usp=sharing"",""พะเยา!J89"")"),1)</f>
        <v>1</v>
      </c>
      <c r="K164" s="293">
        <f ca="1">IF(I164&gt;0,J164*100/I164,0)</f>
        <v>50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IFERROR(__xludf.DUMMYFUNCTION("IMPORTRANGE(""https://docs.google.com/spreadsheets/d/11923uPwbBZFjjGgGUA6NLw09EwE0CqkOc4q9oUmW1yo/edit?usp=sharing"",""พะเยา!J94"")"),0)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IFERROR(__xludf.DUMMYFUNCTION("IMPORTRANGE(""https://docs.google.com/spreadsheets/d/11923uPwbBZFjjGgGUA6NLw09EwE0CqkOc4q9oUmW1yo/edit?usp=sharing"",""พะเยา!J95"")"),1)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IFERROR(__xludf.DUMMYFUNCTION("IMPORTRANGE(""https://docs.google.com/spreadsheets/d/11923uPwbBZFjjGgGUA6NLw09EwE0CqkOc4q9oUmW1yo/edit?usp=sharing"",""พะเยา!J96"")"),1)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IFERROR(__xludf.DUMMYFUNCTION("IMPORTRANGE(""https://docs.google.com/spreadsheets/d/11923uPwbBZFjjGgGUA6NLw09EwE0CqkOc4q9oUmW1yo/edit?usp=sharing"",""พะเยา!J97"")"),1)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IFERROR(__xludf.DUMMYFUNCTION("IMPORTRANGE(""https://docs.google.com/spreadsheets/d/11923uPwbBZFjjGgGUA6NLw09EwE0CqkOc4q9oUmW1yo/edit?usp=sharing"",""พะเยา!I98"")"),2)</f>
        <v>2</v>
      </c>
      <c r="J173" s="198">
        <f ca="1">IFERROR(__xludf.DUMMYFUNCTION("IMPORTRANGE(""https://docs.google.com/spreadsheets/d/11923uPwbBZFjjGgGUA6NLw09EwE0CqkOc4q9oUmW1yo/edit?usp=sharing"",""พะเยา!J98"")"),1)</f>
        <v>1</v>
      </c>
      <c r="K173" s="171">
        <f ca="1">IF(I173&gt;0,J173*100/I173,0)</f>
        <v>50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IFERROR(__xludf.DUMMYFUNCTION("IMPORTRANGE(""https://docs.google.com/spreadsheets/d/11923uPwbBZFjjGgGUA6NLw09EwE0CqkOc4q9oUmW1yo/edit?usp=sharing"",""พะเยา!J99"")"),0)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IFERROR(__xludf.DUMMYFUNCTION("IMPORTRANGE(""https://docs.google.com/spreadsheets/d/11923uPwbBZFjjGgGUA6NLw09EwE0CqkOc4q9oUmW1yo/edit?usp=sharing"",""พะเยา!J100"")"),0)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IFERROR(__xludf.DUMMYFUNCTION("IMPORTRANGE(""https://docs.google.com/spreadsheets/d/11923uPwbBZFjjGgGUA6NLw09EwE0CqkOc4q9oUmW1yo/edit?usp=sharing"",""พะเยา!I101"")"),0)</f>
        <v>0</v>
      </c>
      <c r="J176" s="292">
        <f ca="1">IFERROR(__xludf.DUMMYFUNCTION("IMPORTRANGE(""https://docs.google.com/spreadsheets/d/11923uPwbBZFjjGgGUA6NLw09EwE0CqkOc4q9oUmW1yo/edit?usp=sharing"",""พะเยา!J101"")"),0)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IFERROR(__xludf.DUMMYFUNCTION("IMPORTRANGE(""https://docs.google.com/spreadsheets/d/11923uPwbBZFjjGgGUA6NLw09EwE0CqkOc4q9oUmW1yo/edit?usp=sharing"",""พะเยา!J106"")"),0)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IFERROR(__xludf.DUMMYFUNCTION("IMPORTRANGE(""https://docs.google.com/spreadsheets/d/11923uPwbBZFjjGgGUA6NLw09EwE0CqkOc4q9oUmW1yo/edit?usp=sharing"",""พะเยา!J107"")"),0)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IFERROR(__xludf.DUMMYFUNCTION("IMPORTRANGE(""https://docs.google.com/spreadsheets/d/11923uPwbBZFjjGgGUA6NLw09EwE0CqkOc4q9oUmW1yo/edit?usp=sharing"",""พะเยา!J108"")"),0)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IFERROR(__xludf.DUMMYFUNCTION("IMPORTRANGE(""https://docs.google.com/spreadsheets/d/11923uPwbBZFjjGgGUA6NLw09EwE0CqkOc4q9oUmW1yo/edit?usp=sharing"",""พะเยา!J109"")"),0)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IFERROR(__xludf.DUMMYFUNCTION("IMPORTRANGE(""https://docs.google.com/spreadsheets/d/11923uPwbBZFjjGgGUA6NLw09EwE0CqkOc4q9oUmW1yo/edit?usp=sharing"",""พะเยา!I110"")"),0)</f>
        <v>0</v>
      </c>
      <c r="J185" s="213">
        <f ca="1">IFERROR(__xludf.DUMMYFUNCTION("IMPORTRANGE(""https://docs.google.com/spreadsheets/d/11923uPwbBZFjjGgGUA6NLw09EwE0CqkOc4q9oUmW1yo/edit?usp=sharing"",""พะเยา!J110"")"),0)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IFERROR(__xludf.DUMMYFUNCTION("IMPORTRANGE(""https://docs.google.com/spreadsheets/d/11923uPwbBZFjjGgGUA6NLw09EwE0CqkOc4q9oUmW1yo/edit?usp=sharing"",""พะเยา!I111"")"),0)</f>
        <v>0</v>
      </c>
      <c r="J186" s="213">
        <f ca="1">IFERROR(__xludf.DUMMYFUNCTION("IMPORTRANGE(""https://docs.google.com/spreadsheets/d/11923uPwbBZFjjGgGUA6NLw09EwE0CqkOc4q9oUmW1yo/edit?usp=sharing"",""พะเยา!J111"")"),0)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IFERROR(__xludf.DUMMYFUNCTION("IMPORTRANGE(""https://docs.google.com/spreadsheets/d/11923uPwbBZFjjGgGUA6NLw09EwE0CqkOc4q9oUmW1yo/edit?usp=sharing"",""พะเยา!J112"")"),0)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IFERROR(__xludf.DUMMYFUNCTION("IMPORTRANGE(""https://docs.google.com/spreadsheets/d/11923uPwbBZFjjGgGUA6NLw09EwE0CqkOc4q9oUmW1yo/edit?usp=sharing"",""พะเยา!J113"")"),0)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IFERROR(__xludf.DUMMYFUNCTION("IMPORTRANGE(""https://docs.google.com/spreadsheets/d/11923uPwbBZFjjGgGUA6NLw09EwE0CqkOc4q9oUmW1yo/edit?usp=sharing"",""พะเยา!I114"")"),20000)</f>
        <v>20000</v>
      </c>
      <c r="J189" s="292">
        <f ca="1">IFERROR(__xludf.DUMMYFUNCTION("IMPORTRANGE(""https://docs.google.com/spreadsheets/d/11923uPwbBZFjjGgGUA6NLw09EwE0CqkOc4q9oUmW1yo/edit?usp=sharing"",""พะเยา!J114"")"),0)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IFERROR(__xludf.DUMMYFUNCTION("IMPORTRANGE(""https://docs.google.com/spreadsheets/d/11923uPwbBZFjjGgGUA6NLw09EwE0CqkOc4q9oUmW1yo/edit?usp=sharing"",""พะเยา!J119"")"),0)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IFERROR(__xludf.DUMMYFUNCTION("IMPORTRANGE(""https://docs.google.com/spreadsheets/d/11923uPwbBZFjjGgGUA6NLw09EwE0CqkOc4q9oUmW1yo/edit?usp=sharing"",""พะเยา!J120"")"),1)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IFERROR(__xludf.DUMMYFUNCTION("IMPORTRANGE(""https://docs.google.com/spreadsheets/d/11923uPwbBZFjjGgGUA6NLw09EwE0CqkOc4q9oUmW1yo/edit?usp=sharing"",""พะเยา!J121"")"),1)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IFERROR(__xludf.DUMMYFUNCTION("IMPORTRANGE(""https://docs.google.com/spreadsheets/d/11923uPwbBZFjjGgGUA6NLw09EwE0CqkOc4q9oUmW1yo/edit?usp=sharing"",""พะเยา!J122"")"),1)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IFERROR(__xludf.DUMMYFUNCTION("IMPORTRANGE(""https://docs.google.com/spreadsheets/d/11923uPwbBZFjjGgGUA6NLw09EwE0CqkOc4q9oUmW1yo/edit?usp=sharing"",""พะเยา!I124"")"),20000)</f>
        <v>20000</v>
      </c>
      <c r="J199" s="198">
        <f ca="1">IFERROR(__xludf.DUMMYFUNCTION("IMPORTRANGE(""https://docs.google.com/spreadsheets/d/11923uPwbBZFjjGgGUA6NLw09EwE0CqkOc4q9oUmW1yo/edit?usp=sharing"",""พะเยา!J124"")"),20000)</f>
        <v>20000</v>
      </c>
      <c r="K199" s="171">
        <f t="shared" ref="K199:K201" ca="1" si="70">IF(I199&gt;0,J199*100/I199,0)</f>
        <v>100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IFERROR(__xludf.DUMMYFUNCTION("IMPORTRANGE(""https://docs.google.com/spreadsheets/d/11923uPwbBZFjjGgGUA6NLw09EwE0CqkOc4q9oUmW1yo/edit?usp=sharing"",""พะเยา!I125"")"),20000)</f>
        <v>20000</v>
      </c>
      <c r="J200" s="198">
        <f ca="1">IFERROR(__xludf.DUMMYFUNCTION("IMPORTRANGE(""https://docs.google.com/spreadsheets/d/11923uPwbBZFjjGgGUA6NLw09EwE0CqkOc4q9oUmW1yo/edit?usp=sharing"",""พะเยา!J125"")"),0)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IFERROR(__xludf.DUMMYFUNCTION("IMPORTRANGE(""https://docs.google.com/spreadsheets/d/11923uPwbBZFjjGgGUA6NLw09EwE0CqkOc4q9oUmW1yo/edit?usp=sharing"",""พะเยา!I126"")"),15)</f>
        <v>15</v>
      </c>
      <c r="J201" s="198">
        <f ca="1">IFERROR(__xludf.DUMMYFUNCTION("IMPORTRANGE(""https://docs.google.com/spreadsheets/d/11923uPwbBZFjjGgGUA6NLw09EwE0CqkOc4q9oUmW1yo/edit?usp=sharing"",""พะเยา!J126"")"),15)</f>
        <v>15</v>
      </c>
      <c r="K201" s="171">
        <f t="shared" ca="1" si="70"/>
        <v>100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IFERROR(__xludf.DUMMYFUNCTION("IMPORTRANGE(""https://docs.google.com/spreadsheets/d/11923uPwbBZFjjGgGUA6NLw09EwE0CqkOc4q9oUmW1yo/edit?usp=sharing"",""พะเยา!J127"")"),0)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IFERROR(__xludf.DUMMYFUNCTION("IMPORTRANGE(""https://docs.google.com/spreadsheets/d/11923uPwbBZFjjGgGUA6NLw09EwE0CqkOc4q9oUmW1yo/edit?usp=sharing"",""พะเยา!J128"")"),0)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IFERROR(__xludf.DUMMYFUNCTION("IMPORTRANGE(""https://docs.google.com/spreadsheets/d/11923uPwbBZFjjGgGUA6NLw09EwE0CqkOc4q9oUmW1yo/edit?usp=sharing"",""พะเยา!I129"")"),40)</f>
        <v>40</v>
      </c>
      <c r="J204" s="292">
        <f ca="1">IFERROR(__xludf.DUMMYFUNCTION("IMPORTRANGE(""https://docs.google.com/spreadsheets/d/11923uPwbBZFjjGgGUA6NLw09EwE0CqkOc4q9oUmW1yo/edit?usp=sharing"",""พะเยา!J129"")"),40)</f>
        <v>40</v>
      </c>
      <c r="K204" s="293">
        <f ca="1">IF(I204&gt;0,J204*100/I204,0)</f>
        <v>100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IFERROR(__xludf.DUMMYFUNCTION("IMPORTRANGE(""https://docs.google.com/spreadsheets/d/11923uPwbBZFjjGgGUA6NLw09EwE0CqkOc4q9oUmW1yo/edit?usp=sharing"",""พะเยา!J134"")"),0)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IFERROR(__xludf.DUMMYFUNCTION("IMPORTRANGE(""https://docs.google.com/spreadsheets/d/11923uPwbBZFjjGgGUA6NLw09EwE0CqkOc4q9oUmW1yo/edit?usp=sharing"",""พะเยา!J135"")"),1)</f>
        <v>1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IFERROR(__xludf.DUMMYFUNCTION("IMPORTRANGE(""https://docs.google.com/spreadsheets/d/11923uPwbBZFjjGgGUA6NLw09EwE0CqkOc4q9oUmW1yo/edit?usp=sharing"",""พะเยา!J136"")"),1)</f>
        <v>1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IFERROR(__xludf.DUMMYFUNCTION("IMPORTRANGE(""https://docs.google.com/spreadsheets/d/11923uPwbBZFjjGgGUA6NLw09EwE0CqkOc4q9oUmW1yo/edit?usp=sharing"",""พะเยา!J137"")"),1)</f>
        <v>1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IFERROR(__xludf.DUMMYFUNCTION("IMPORTRANGE(""https://docs.google.com/spreadsheets/d/11923uPwbBZFjjGgGUA6NLw09EwE0CqkOc4q9oUmW1yo/edit?usp=sharing"",""พะเยา!I138"")"),40)</f>
        <v>40</v>
      </c>
      <c r="J213" s="213">
        <f ca="1">IFERROR(__xludf.DUMMYFUNCTION("IMPORTRANGE(""https://docs.google.com/spreadsheets/d/11923uPwbBZFjjGgGUA6NLw09EwE0CqkOc4q9oUmW1yo/edit?usp=sharing"",""พะเยา!J138"")"),40)</f>
        <v>40</v>
      </c>
      <c r="K213" s="233">
        <f ca="1">IF(I213&gt;0,J213*100/I213,0)</f>
        <v>100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IFERROR(__xludf.DUMMYFUNCTION("IMPORTRANGE(""https://docs.google.com/spreadsheets/d/11923uPwbBZFjjGgGUA6NLw09EwE0CqkOc4q9oUmW1yo/edit?usp=sharing"",""พะเยา!I140"")"),40)</f>
        <v>40</v>
      </c>
      <c r="J215" s="213">
        <f ca="1">IFERROR(__xludf.DUMMYFUNCTION("IMPORTRANGE(""https://docs.google.com/spreadsheets/d/11923uPwbBZFjjGgGUA6NLw09EwE0CqkOc4q9oUmW1yo/edit?usp=sharing"",""พะเยา!J140"")"),0)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IFERROR(__xludf.DUMMYFUNCTION("IMPORTRANGE(""https://docs.google.com/spreadsheets/d/11923uPwbBZFjjGgGUA6NLw09EwE0CqkOc4q9oUmW1yo/edit?usp=sharing"",""พะเยา!I141"")"),2)</f>
        <v>2</v>
      </c>
      <c r="J216" s="213">
        <f ca="1">IFERROR(__xludf.DUMMYFUNCTION("IMPORTRANGE(""https://docs.google.com/spreadsheets/d/11923uPwbBZFjjGgGUA6NLw09EwE0CqkOc4q9oUmW1yo/edit?usp=sharing"",""พะเยา!J141"")"),0)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IFERROR(__xludf.DUMMYFUNCTION("IMPORTRANGE(""https://docs.google.com/spreadsheets/d/11923uPwbBZFjjGgGUA6NLw09EwE0CqkOc4q9oUmW1yo/edit?usp=sharing"",""พะเยา!J142"")"),0)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IFERROR(__xludf.DUMMYFUNCTION("IMPORTRANGE(""https://docs.google.com/spreadsheets/d/11923uPwbBZFjjGgGUA6NLw09EwE0CqkOc4q9oUmW1yo/edit?usp=sharing"",""พะเยา!J143"")"),0)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IFERROR(__xludf.DUMMYFUNCTION("IMPORTRANGE(""https://docs.google.com/spreadsheets/d/11923uPwbBZFjjGgGUA6NLw09EwE0CqkOc4q9oUmW1yo/edit?usp=sharing"",""พะเยา!I144"")"),15)</f>
        <v>15</v>
      </c>
      <c r="J219" s="276">
        <f ca="1">IFERROR(__xludf.DUMMYFUNCTION("IMPORTRANGE(""https://docs.google.com/spreadsheets/d/11923uPwbBZFjjGgGUA6NLw09EwE0CqkOc4q9oUmW1yo/edit?usp=sharing"",""พะเยา!J144"")"),15)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IFERROR(__xludf.DUMMYFUNCTION("IMPORTRANGE(""https://docs.google.com/spreadsheets/d/1Yj_ptqi66GCucihVvJfMjLAmec39IyEx_6qawtMGysU/edit?usp=sharing"",""สบก!BS26"")"),21125)</f>
        <v>21125</v>
      </c>
      <c r="N224" s="177">
        <f ca="1">IFERROR(__xludf.DUMMYFUNCTION("IMPORTRANGE(""https://docs.google.com/spreadsheets/d/1Yj_ptqi66GCucihVvJfMjLAmec39IyEx_6qawtMGysU/edit?usp=sharing"",""สบก!BT26"")"),21125)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IFERROR(__xludf.DUMMYFUNCTION("IMPORTRANGE(""https://docs.google.com/spreadsheets/d/1Yj_ptqi66GCucihVvJfMjLAmec39IyEx_6qawtMGysU/edit?usp=sharing"",""สบก!BO26"")"),0)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IFERROR(__xludf.DUMMYFUNCTION("IMPORTRANGE(""https://docs.google.com/spreadsheets/d/1Yj_ptqi66GCucihVvJfMjLAmec39IyEx_6qawtMGysU/edit?usp=sharing"",""สบก!BP26"")"),21125)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IFERROR(__xludf.DUMMYFUNCTION("IMPORTRANGE(""https://docs.google.com/spreadsheets/d/1Yj_ptqi66GCucihVvJfMjLAmec39IyEx_6qawtMGysU/edit?usp=sharing"",""สบก!BQ26"")"),0)</f>
        <v>0</v>
      </c>
      <c r="M228" s="103"/>
      <c r="N228" s="93">
        <f ca="1">IFERROR(__xludf.DUMMYFUNCTION("IMPORTRANGE(""https://docs.google.com/spreadsheets/d/1Yj_ptqi66GCucihVvJfMjLAmec39IyEx_6qawtMGysU/edit?usp=sharing"",""สบก!BU26"")"),0)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IFERROR(__xludf.DUMMYFUNCTION("IMPORTRANGE(""https://docs.google.com/spreadsheets/d/11923uPwbBZFjjGgGUA6NLw09EwE0CqkOc4q9oUmW1yo/edit?usp=sharing"",""พะเยา!I149"")"),15)</f>
        <v>15</v>
      </c>
      <c r="J229" s="276">
        <f ca="1">IFERROR(__xludf.DUMMYFUNCTION("IMPORTRANGE(""https://docs.google.com/spreadsheets/d/11923uPwbBZFjjGgGUA6NLw09EwE0CqkOc4q9oUmW1yo/edit?usp=sharing"",""พะเยา!J149"")"),15)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IFERROR(__xludf.DUMMYFUNCTION("IMPORTRANGE(""https://docs.google.com/spreadsheets/d/11923uPwbBZFjjGgGUA6NLw09EwE0CqkOc4q9oUmW1yo/edit?usp=sharing"",""พะเยา!J151"")"),0)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IFERROR(__xludf.DUMMYFUNCTION("IMPORTRANGE(""https://docs.google.com/spreadsheets/d/11923uPwbBZFjjGgGUA6NLw09EwE0CqkOc4q9oUmW1yo/edit?usp=sharing"",""พะเยา!J152"")"),1)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IFERROR(__xludf.DUMMYFUNCTION("IMPORTRANGE(""https://docs.google.com/spreadsheets/d/11923uPwbBZFjjGgGUA6NLw09EwE0CqkOc4q9oUmW1yo/edit?usp=sharing"",""พะเยา!J153"")"),1)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IFERROR(__xludf.DUMMYFUNCTION("IMPORTRANGE(""https://docs.google.com/spreadsheets/d/11923uPwbBZFjjGgGUA6NLw09EwE0CqkOc4q9oUmW1yo/edit?usp=sharing"",""พะเยา!J154"")"),1)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IFERROR(__xludf.DUMMYFUNCTION("IMPORTRANGE(""https://docs.google.com/spreadsheets/d/11923uPwbBZFjjGgGUA6NLw09EwE0CqkOc4q9oUmW1yo/edit?usp=sharing"",""พะเยา!I155"")"),15)</f>
        <v>15</v>
      </c>
      <c r="J235" s="198">
        <f ca="1">IFERROR(__xludf.DUMMYFUNCTION("IMPORTRANGE(""https://docs.google.com/spreadsheets/d/11923uPwbBZFjjGgGUA6NLw09EwE0CqkOc4q9oUmW1yo/edit?usp=sharing"",""พะเยา!J155"")"),15)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IFERROR(__xludf.DUMMYFUNCTION("IMPORTRANGE(""https://docs.google.com/spreadsheets/d/11923uPwbBZFjjGgGUA6NLw09EwE0CqkOc4q9oUmW1yo/edit?usp=sharing"",""พะเยา!J156"")"),0)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IFERROR(__xludf.DUMMYFUNCTION("IMPORTRANGE(""https://docs.google.com/spreadsheets/d/11923uPwbBZFjjGgGUA6NLw09EwE0CqkOc4q9oUmW1yo/edit?usp=sharing"",""พะเยา!J157"")"),0)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IFERROR(__xludf.DUMMYFUNCTION("IMPORTRANGE(""https://docs.google.com/spreadsheets/d/11923uPwbBZFjjGgGUA6NLw09EwE0CqkOc4q9oUmW1yo/edit?usp=sharing"",""พะเยา!I158"")"),0)</f>
        <v>0</v>
      </c>
      <c r="J238" s="276">
        <f ca="1">IFERROR(__xludf.DUMMYFUNCTION("IMPORTRANGE(""https://docs.google.com/spreadsheets/d/11923uPwbBZFjjGgGUA6NLw09EwE0CqkOc4q9oUmW1yo/edit?usp=sharing"",""พะเยา!J158"")"),0)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IFERROR(__xludf.DUMMYFUNCTION("IMPORTRANGE(""https://docs.google.com/spreadsheets/d/11923uPwbBZFjjGgGUA6NLw09EwE0CqkOc4q9oUmW1yo/edit?usp=sharing"",""พะเยา!J159"")"),"")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IFERROR(__xludf.DUMMYFUNCTION("IMPORTRANGE(""https://docs.google.com/spreadsheets/d/11923uPwbBZFjjGgGUA6NLw09EwE0CqkOc4q9oUmW1yo/edit?usp=sharing"",""พะเยา!J161"")"),0)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IFERROR(__xludf.DUMMYFUNCTION("IMPORTRANGE(""https://docs.google.com/spreadsheets/d/11923uPwbBZFjjGgGUA6NLw09EwE0CqkOc4q9oUmW1yo/edit?usp=sharing"",""พะเยา!J162"")"),0)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IFERROR(__xludf.DUMMYFUNCTION("IMPORTRANGE(""https://docs.google.com/spreadsheets/d/11923uPwbBZFjjGgGUA6NLw09EwE0CqkOc4q9oUmW1yo/edit?usp=sharing"",""พะเยา!J163"")"),0)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IFERROR(__xludf.DUMMYFUNCTION("IMPORTRANGE(""https://docs.google.com/spreadsheets/d/11923uPwbBZFjjGgGUA6NLw09EwE0CqkOc4q9oUmW1yo/edit?usp=sharing"",""พะเยา!I164"")"),0)</f>
        <v>0</v>
      </c>
      <c r="J244" s="197">
        <f ca="1">IFERROR(__xludf.DUMMYFUNCTION("IMPORTRANGE(""https://docs.google.com/spreadsheets/d/11923uPwbBZFjjGgGUA6NLw09EwE0CqkOc4q9oUmW1yo/edit?usp=sharing"",""พะเยา!J164"")"),0)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IFERROR(__xludf.DUMMYFUNCTION("IMPORTRANGE(""https://docs.google.com/spreadsheets/d/11923uPwbBZFjjGgGUA6NLw09EwE0CqkOc4q9oUmW1yo/edit?usp=sharing"",""พะเยา!J165"")"),0)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IFERROR(__xludf.DUMMYFUNCTION("IMPORTRANGE(""https://docs.google.com/spreadsheets/d/11923uPwbBZFjjGgGUA6NLw09EwE0CqkOc4q9oUmW1yo/edit?usp=sharing"",""พะเยา!J166"")"),0)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IFERROR(__xludf.DUMMYFUNCTION("IMPORTRANGE(""https://docs.google.com/spreadsheets/d/11923uPwbBZFjjGgGUA6NLw09EwE0CqkOc4q9oUmW1yo/edit?usp=sharing"",""พะเยา!I169"")"),20)</f>
        <v>20</v>
      </c>
      <c r="J249" s="324">
        <f ca="1">IFERROR(__xludf.DUMMYFUNCTION("IMPORTRANGE(""https://docs.google.com/spreadsheets/d/11923uPwbBZFjjGgGUA6NLw09EwE0CqkOc4q9oUmW1yo/edit?usp=sharing"",""พะเยา!J169"")"),20)</f>
        <v>20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71400</v>
      </c>
      <c r="M250" s="158">
        <f t="shared" ca="1" si="77"/>
        <v>37000</v>
      </c>
      <c r="N250" s="158">
        <f t="shared" ca="1" si="77"/>
        <v>13274</v>
      </c>
      <c r="O250" s="157">
        <f t="shared" ref="O250:O252" ca="1" si="78">IF(L250&gt;0,N250*100/L250,0)</f>
        <v>18.591036414565828</v>
      </c>
      <c r="P250" s="157">
        <f t="shared" ref="P250:P252" ca="1" si="79">IF(M250&gt;0,N250*100/M250,0)</f>
        <v>35.875675675675673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71400</v>
      </c>
      <c r="M252" s="163">
        <f t="shared" ca="1" si="81"/>
        <v>37000</v>
      </c>
      <c r="N252" s="163">
        <f t="shared" ca="1" si="81"/>
        <v>13274</v>
      </c>
      <c r="O252" s="162">
        <f t="shared" ca="1" si="78"/>
        <v>18.591036414565828</v>
      </c>
      <c r="P252" s="162">
        <f t="shared" ca="1" si="79"/>
        <v>35.875675675675673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71400</v>
      </c>
      <c r="M254" s="176">
        <f ca="1">IFERROR(__xludf.DUMMYFUNCTION("IMPORTRANGE(""https://docs.google.com/spreadsheets/d/1Yj_ptqi66GCucihVvJfMjLAmec39IyEx_6qawtMGysU/edit?usp=sharing"",""สบก!CB26"")"),37000)</f>
        <v>37000</v>
      </c>
      <c r="N254" s="177">
        <f ca="1">IFERROR(__xludf.DUMMYFUNCTION("IMPORTRANGE(""https://docs.google.com/spreadsheets/d/1Yj_ptqi66GCucihVvJfMjLAmec39IyEx_6qawtMGysU/edit?usp=sharing"",""สบก!CC26"")"),13274)</f>
        <v>13274</v>
      </c>
      <c r="O254" s="178">
        <f ca="1">IF(L254&gt;0,N254*100/L254,0)</f>
        <v>18.591036414565828</v>
      </c>
      <c r="P254" s="178">
        <f ca="1">IF(M254&gt;0,N254*100/M254,0)</f>
        <v>35.875675675675673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IFERROR(__xludf.DUMMYFUNCTION("IMPORTRANGE(""https://docs.google.com/spreadsheets/d/1Yj_ptqi66GCucihVvJfMjLAmec39IyEx_6qawtMGysU/edit?usp=sharing"",""สบก!BX26"")"),0)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IFERROR(__xludf.DUMMYFUNCTION("IMPORTRANGE(""https://docs.google.com/spreadsheets/d/1Yj_ptqi66GCucihVvJfMjLAmec39IyEx_6qawtMGysU/edit?usp=sharing"",""สบก!BY26"")"),71400)</f>
        <v>71400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IFERROR(__xludf.DUMMYFUNCTION("IMPORTRANGE(""https://docs.google.com/spreadsheets/d/1Yj_ptqi66GCucihVvJfMjLAmec39IyEx_6qawtMGysU/edit?usp=sharing"",""สบก!BZ26"")"),0)</f>
        <v>0</v>
      </c>
      <c r="M258" s="103"/>
      <c r="N258" s="93">
        <f ca="1">IFERROR(__xludf.DUMMYFUNCTION("IMPORTRANGE(""https://docs.google.com/spreadsheets/d/1Yj_ptqi66GCucihVvJfMjLAmec39IyEx_6qawtMGysU/edit?usp=sharing"",""สบก!CD26"")"),0)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IFERROR(__xludf.DUMMYFUNCTION("IMPORTRANGE(""https://docs.google.com/spreadsheets/d/11923uPwbBZFjjGgGUA6NLw09EwE0CqkOc4q9oUmW1yo/edit?usp=sharing"",""พะเยา!J175"")"),0)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IFERROR(__xludf.DUMMYFUNCTION("IMPORTRANGE(""https://docs.google.com/spreadsheets/d/11923uPwbBZFjjGgGUA6NLw09EwE0CqkOc4q9oUmW1yo/edit?usp=sharing"",""พะเยา!J176"")"),1)</f>
        <v>1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IFERROR(__xludf.DUMMYFUNCTION("IMPORTRANGE(""https://docs.google.com/spreadsheets/d/11923uPwbBZFjjGgGUA6NLw09EwE0CqkOc4q9oUmW1yo/edit?usp=sharing"",""พะเยา!J177"")"),1)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IFERROR(__xludf.DUMMYFUNCTION("IMPORTRANGE(""https://docs.google.com/spreadsheets/d/11923uPwbBZFjjGgGUA6NLw09EwE0CqkOc4q9oUmW1yo/edit?usp=sharing"",""พะเยา!J178"")"),1)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IFERROR(__xludf.DUMMYFUNCTION("IMPORTRANGE(""https://docs.google.com/spreadsheets/d/11923uPwbBZFjjGgGUA6NLw09EwE0CqkOc4q9oUmW1yo/edit?usp=sharing"",""พะเยา!I179"")"),1)</f>
        <v>1</v>
      </c>
      <c r="J264" s="198">
        <f ca="1">IFERROR(__xludf.DUMMYFUNCTION("IMPORTRANGE(""https://docs.google.com/spreadsheets/d/11923uPwbBZFjjGgGUA6NLw09EwE0CqkOc4q9oUmW1yo/edit?usp=sharing"",""พะเยา!J179"")"),1)</f>
        <v>1</v>
      </c>
      <c r="K264" s="171">
        <f t="shared" ref="K264:K267" ca="1" si="82">IF(I264&gt;0,J264*100/I264,0)</f>
        <v>100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IFERROR(__xludf.DUMMYFUNCTION("IMPORTRANGE(""https://docs.google.com/spreadsheets/d/11923uPwbBZFjjGgGUA6NLw09EwE0CqkOc4q9oUmW1yo/edit?usp=sharing"",""พะเยา!I180"")"),20)</f>
        <v>20</v>
      </c>
      <c r="J265" s="198">
        <f ca="1">IFERROR(__xludf.DUMMYFUNCTION("IMPORTRANGE(""https://docs.google.com/spreadsheets/d/11923uPwbBZFjjGgGUA6NLw09EwE0CqkOc4q9oUmW1yo/edit?usp=sharing"",""พะเยา!J180"")"),20)</f>
        <v>20</v>
      </c>
      <c r="K265" s="171">
        <f t="shared" ca="1" si="82"/>
        <v>100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IFERROR(__xludf.DUMMYFUNCTION("IMPORTRANGE(""https://docs.google.com/spreadsheets/d/11923uPwbBZFjjGgGUA6NLw09EwE0CqkOc4q9oUmW1yo/edit?usp=sharing"",""พะเยา!I181"")"),20)</f>
        <v>20</v>
      </c>
      <c r="J266" s="198">
        <f ca="1">IFERROR(__xludf.DUMMYFUNCTION("IMPORTRANGE(""https://docs.google.com/spreadsheets/d/11923uPwbBZFjjGgGUA6NLw09EwE0CqkOc4q9oUmW1yo/edit?usp=sharing"",""พะเยา!J181"")"),0)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IFERROR(__xludf.DUMMYFUNCTION("IMPORTRANGE(""https://docs.google.com/spreadsheets/d/11923uPwbBZFjjGgGUA6NLw09EwE0CqkOc4q9oUmW1yo/edit?usp=sharing"",""พะเยา!I182"")"),1)</f>
        <v>1</v>
      </c>
      <c r="J267" s="198">
        <f ca="1">IFERROR(__xludf.DUMMYFUNCTION("IMPORTRANGE(""https://docs.google.com/spreadsheets/d/11923uPwbBZFjjGgGUA6NLw09EwE0CqkOc4q9oUmW1yo/edit?usp=sharing"",""พะเยา!J182"")"),1)</f>
        <v>1</v>
      </c>
      <c r="K267" s="171">
        <f t="shared" ca="1" si="82"/>
        <v>100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IFERROR(__xludf.DUMMYFUNCTION("IMPORTRANGE(""https://docs.google.com/spreadsheets/d/11923uPwbBZFjjGgGUA6NLw09EwE0CqkOc4q9oUmW1yo/edit?usp=sharing"",""พะเยา!J183"")"),0)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IFERROR(__xludf.DUMMYFUNCTION("IMPORTRANGE(""https://docs.google.com/spreadsheets/d/11923uPwbBZFjjGgGUA6NLw09EwE0CqkOc4q9oUmW1yo/edit?usp=sharing"",""พะเยา!J184"")"),0)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IFERROR(__xludf.DUMMYFUNCTION("IMPORTRANGE(""https://docs.google.com/spreadsheets/d/11923uPwbBZFjjGgGUA6NLw09EwE0CqkOc4q9oUmW1yo/edit?usp=sharing"",""พะเยา!I185"")"),20)</f>
        <v>20</v>
      </c>
      <c r="J270" s="324">
        <f ca="1">IFERROR(__xludf.DUMMYFUNCTION("IMPORTRANGE(""https://docs.google.com/spreadsheets/d/11923uPwbBZFjjGgGUA6NLw09EwE0CqkOc4q9oUmW1yo/edit?usp=sharing"",""พะเยา!J185"")"),20)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183600</v>
      </c>
      <c r="M271" s="158">
        <f t="shared" ca="1" si="83"/>
        <v>88000</v>
      </c>
      <c r="N271" s="158">
        <f t="shared" ca="1" si="83"/>
        <v>80569</v>
      </c>
      <c r="O271" s="157">
        <f t="shared" ref="O271:O273" ca="1" si="84">IF(L271&gt;0,N271*100/L271,0)</f>
        <v>43.882897603485837</v>
      </c>
      <c r="P271" s="157">
        <f t="shared" ref="P271:P273" ca="1" si="85">IF(M271&gt;0,N271*100/M271,0)</f>
        <v>91.555681818181824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183600</v>
      </c>
      <c r="M273" s="163">
        <f t="shared" ca="1" si="87"/>
        <v>88000</v>
      </c>
      <c r="N273" s="163">
        <f t="shared" ca="1" si="87"/>
        <v>80569</v>
      </c>
      <c r="O273" s="162">
        <f t="shared" ca="1" si="84"/>
        <v>43.882897603485837</v>
      </c>
      <c r="P273" s="162">
        <f t="shared" ca="1" si="85"/>
        <v>91.555681818181824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183600</v>
      </c>
      <c r="M275" s="176">
        <f ca="1">IFERROR(__xludf.DUMMYFUNCTION("IMPORTRANGE(""https://docs.google.com/spreadsheets/d/1Yj_ptqi66GCucihVvJfMjLAmec39IyEx_6qawtMGysU/edit?usp=sharing"",""สบก!CK26"")"),88000)</f>
        <v>88000</v>
      </c>
      <c r="N275" s="177">
        <f ca="1">IFERROR(__xludf.DUMMYFUNCTION("IMPORTRANGE(""https://docs.google.com/spreadsheets/d/1Yj_ptqi66GCucihVvJfMjLAmec39IyEx_6qawtMGysU/edit?usp=sharing"",""สบก!CL26"")"),80569)</f>
        <v>80569</v>
      </c>
      <c r="O275" s="178">
        <f ca="1">IF(L275&gt;0,N275*100/L275,0)</f>
        <v>43.882897603485837</v>
      </c>
      <c r="P275" s="178">
        <f ca="1">IF(M275&gt;0,N275*100/M275,0)</f>
        <v>91.555681818181824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IFERROR(__xludf.DUMMYFUNCTION("IMPORTRANGE(""https://docs.google.com/spreadsheets/d/1Yj_ptqi66GCucihVvJfMjLAmec39IyEx_6qawtMGysU/edit?usp=sharing"",""สบก!CG26"")"),0)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IFERROR(__xludf.DUMMYFUNCTION("IMPORTRANGE(""https://docs.google.com/spreadsheets/d/1Yj_ptqi66GCucihVvJfMjLAmec39IyEx_6qawtMGysU/edit?usp=sharing"",""สบก!CH26"")"),183600)</f>
        <v>183600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IFERROR(__xludf.DUMMYFUNCTION("IMPORTRANGE(""https://docs.google.com/spreadsheets/d/1Yj_ptqi66GCucihVvJfMjLAmec39IyEx_6qawtMGysU/edit?usp=sharing"",""สบก!CI26"")"),0)</f>
        <v>0</v>
      </c>
      <c r="M279" s="103"/>
      <c r="N279" s="93">
        <f ca="1">IFERROR(__xludf.DUMMYFUNCTION("IMPORTRANGE(""https://docs.google.com/spreadsheets/d/1Yj_ptqi66GCucihVvJfMjLAmec39IyEx_6qawtMGysU/edit?usp=sharing"",""สบก!CM26"")"),0)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IFERROR(__xludf.DUMMYFUNCTION("IMPORTRANGE(""https://docs.google.com/spreadsheets/d/11923uPwbBZFjjGgGUA6NLw09EwE0CqkOc4q9oUmW1yo/edit?usp=sharing"",""พะเยา!J191"")"),0)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IFERROR(__xludf.DUMMYFUNCTION("IMPORTRANGE(""https://docs.google.com/spreadsheets/d/11923uPwbBZFjjGgGUA6NLw09EwE0CqkOc4q9oUmW1yo/edit?usp=sharing"",""พะเยา!J192"")"),1)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IFERROR(__xludf.DUMMYFUNCTION("IMPORTRANGE(""https://docs.google.com/spreadsheets/d/11923uPwbBZFjjGgGUA6NLw09EwE0CqkOc4q9oUmW1yo/edit?usp=sharing"",""พะเยา!J193"")"),1)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IFERROR(__xludf.DUMMYFUNCTION("IMPORTRANGE(""https://docs.google.com/spreadsheets/d/11923uPwbBZFjjGgGUA6NLw09EwE0CqkOc4q9oUmW1yo/edit?usp=sharing"",""พะเยา!J194"")"),1)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IFERROR(__xludf.DUMMYFUNCTION("IMPORTRANGE(""https://docs.google.com/spreadsheets/d/11923uPwbBZFjjGgGUA6NLw09EwE0CqkOc4q9oUmW1yo/edit?usp=sharing"",""พะเยา!I195"")"),20)</f>
        <v>20</v>
      </c>
      <c r="J285" s="198">
        <f ca="1">IFERROR(__xludf.DUMMYFUNCTION("IMPORTRANGE(""https://docs.google.com/spreadsheets/d/11923uPwbBZFjjGgGUA6NLw09EwE0CqkOc4q9oUmW1yo/edit?usp=sharing"",""พะเยา!J195"")"),20)</f>
        <v>20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IFERROR(__xludf.DUMMYFUNCTION("IMPORTRANGE(""https://docs.google.com/spreadsheets/d/11923uPwbBZFjjGgGUA6NLw09EwE0CqkOc4q9oUmW1yo/edit?usp=sharing"",""พะเยา!J196"")"),0)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IFERROR(__xludf.DUMMYFUNCTION("IMPORTRANGE(""https://docs.google.com/spreadsheets/d/11923uPwbBZFjjGgGUA6NLw09EwE0CqkOc4q9oUmW1yo/edit?usp=sharing"",""พะเยา!J197"")"),0)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IFERROR(__xludf.DUMMYFUNCTION("IMPORTRANGE(""https://docs.google.com/spreadsheets/d/11923uPwbBZFjjGgGUA6NLw09EwE0CqkOc4q9oUmW1yo/edit?usp=sharing"",""พะเยา!I199"")"),0)</f>
        <v>0</v>
      </c>
      <c r="J289" s="324">
        <f ca="1">IFERROR(__xludf.DUMMYFUNCTION("IMPORTRANGE(""https://docs.google.com/spreadsheets/d/11923uPwbBZFjjGgGUA6NLw09EwE0CqkOc4q9oUmW1yo/edit?usp=sharing"",""พะเยา!J199"")"),0)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IFERROR(__xludf.DUMMYFUNCTION("IMPORTRANGE(""https://docs.google.com/spreadsheets/d/1Yj_ptqi66GCucihVvJfMjLAmec39IyEx_6qawtMGysU/edit?usp=sharing"",""สบก!CT26"")"),0)</f>
        <v>0</v>
      </c>
      <c r="N294" s="177">
        <f ca="1">IFERROR(__xludf.DUMMYFUNCTION("IMPORTRANGE(""https://docs.google.com/spreadsheets/d/1Yj_ptqi66GCucihVvJfMjLAmec39IyEx_6qawtMGysU/edit?usp=sharing"",""สบก!CU26"")"),0)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IFERROR(__xludf.DUMMYFUNCTION("IMPORTRANGE(""https://docs.google.com/spreadsheets/d/1Yj_ptqi66GCucihVvJfMjLAmec39IyEx_6qawtMGysU/edit?usp=sharing"",""สบก!CP26"")"),0)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IFERROR(__xludf.DUMMYFUNCTION("IMPORTRANGE(""https://docs.google.com/spreadsheets/d/1Yj_ptqi66GCucihVvJfMjLAmec39IyEx_6qawtMGysU/edit?usp=sharing"",""สบก!CQ26"")"),0)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IFERROR(__xludf.DUMMYFUNCTION("IMPORTRANGE(""https://docs.google.com/spreadsheets/d/1Yj_ptqi66GCucihVvJfMjLAmec39IyEx_6qawtMGysU/edit?usp=sharing"",""สบก!CR26"")"),0)</f>
        <v>0</v>
      </c>
      <c r="M298" s="103"/>
      <c r="N298" s="93">
        <f ca="1">IFERROR(__xludf.DUMMYFUNCTION("IMPORTRANGE(""https://docs.google.com/spreadsheets/d/1Yj_ptqi66GCucihVvJfMjLAmec39IyEx_6qawtMGysU/edit?usp=sharing"",""สบก!CV26"")"),0)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IFERROR(__xludf.DUMMYFUNCTION("IMPORTRANGE(""https://docs.google.com/spreadsheets/d/11923uPwbBZFjjGgGUA6NLw09EwE0CqkOc4q9oUmW1yo/edit?usp=sharing"",""พะเยา!J205"")"),0)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IFERROR(__xludf.DUMMYFUNCTION("IMPORTRANGE(""https://docs.google.com/spreadsheets/d/11923uPwbBZFjjGgGUA6NLw09EwE0CqkOc4q9oUmW1yo/edit?usp=sharing"",""พะเยา!J206"")"),0)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IFERROR(__xludf.DUMMYFUNCTION("IMPORTRANGE(""https://docs.google.com/spreadsheets/d/11923uPwbBZFjjGgGUA6NLw09EwE0CqkOc4q9oUmW1yo/edit?usp=sharing"",""พะเยา!J207"")"),0)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IFERROR(__xludf.DUMMYFUNCTION("IMPORTRANGE(""https://docs.google.com/spreadsheets/d/11923uPwbBZFjjGgGUA6NLw09EwE0CqkOc4q9oUmW1yo/edit?usp=sharing"",""พะเยา!J208"")"),0)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IFERROR(__xludf.DUMMYFUNCTION("IMPORTRANGE(""https://docs.google.com/spreadsheets/d/11923uPwbBZFjjGgGUA6NLw09EwE0CqkOc4q9oUmW1yo/edit?usp=sharing"",""พะเยา!I209"")"),0)</f>
        <v>0</v>
      </c>
      <c r="J304" s="213">
        <f ca="1">IFERROR(__xludf.DUMMYFUNCTION("IMPORTRANGE(""https://docs.google.com/spreadsheets/d/11923uPwbBZFjjGgGUA6NLw09EwE0CqkOc4q9oUmW1yo/edit?usp=sharing"",""พะเยา!J209"")"),0)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IFERROR(__xludf.DUMMYFUNCTION("IMPORTRANGE(""https://docs.google.com/spreadsheets/d/11923uPwbBZFjjGgGUA6NLw09EwE0CqkOc4q9oUmW1yo/edit?usp=sharing"",""พะเยา!I211"")"),0)</f>
        <v>0</v>
      </c>
      <c r="J306" s="213">
        <f ca="1">IFERROR(__xludf.DUMMYFUNCTION("IMPORTRANGE(""https://docs.google.com/spreadsheets/d/11923uPwbBZFjjGgGUA6NLw09EwE0CqkOc4q9oUmW1yo/edit?usp=sharing"",""พะเยา!J211"")"),0)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IFERROR(__xludf.DUMMYFUNCTION("IMPORTRANGE(""https://docs.google.com/spreadsheets/d/11923uPwbBZFjjGgGUA6NLw09EwE0CqkOc4q9oUmW1yo/edit?usp=sharing"",""พะเยา!J212"")"),0)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IFERROR(__xludf.DUMMYFUNCTION("IMPORTRANGE(""https://docs.google.com/spreadsheets/d/11923uPwbBZFjjGgGUA6NLw09EwE0CqkOc4q9oUmW1yo/edit?usp=sharing"",""พะเยา!J213"")"),0)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IFERROR(__xludf.DUMMYFUNCTION("IMPORTRANGE(""https://docs.google.com/spreadsheets/d/11923uPwbBZFjjGgGUA6NLw09EwE0CqkOc4q9oUmW1yo/edit?usp=sharing"",""พะเยา!I214"")"),0)</f>
        <v>0</v>
      </c>
      <c r="J309" s="341">
        <f ca="1">IFERROR(__xludf.DUMMYFUNCTION("IMPORTRANGE(""https://docs.google.com/spreadsheets/d/11923uPwbBZFjjGgGUA6NLw09EwE0CqkOc4q9oUmW1yo/edit?usp=sharing"",""พะเยา!J214"")"),0)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IFERROR(__xludf.DUMMYFUNCTION("IMPORTRANGE(""https://docs.google.com/spreadsheets/d/1Yj_ptqi66GCucihVvJfMjLAmec39IyEx_6qawtMGysU/edit?usp=sharing"",""สบก!DC26"")"),0)</f>
        <v>0</v>
      </c>
      <c r="N314" s="177">
        <f ca="1">IFERROR(__xludf.DUMMYFUNCTION("IMPORTRANGE(""https://docs.google.com/spreadsheets/d/1Yj_ptqi66GCucihVvJfMjLAmec39IyEx_6qawtMGysU/edit?usp=sharing"",""สบก!DD26"")"),0)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IFERROR(__xludf.DUMMYFUNCTION("IMPORTRANGE(""https://docs.google.com/spreadsheets/d/1Yj_ptqi66GCucihVvJfMjLAmec39IyEx_6qawtMGysU/edit?usp=sharing"",""สบก!CY26"")"),0)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IFERROR(__xludf.DUMMYFUNCTION("IMPORTRANGE(""https://docs.google.com/spreadsheets/d/1Yj_ptqi66GCucihVvJfMjLAmec39IyEx_6qawtMGysU/edit?usp=sharing"",""สบก!CZ26"")"),0)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IFERROR(__xludf.DUMMYFUNCTION("IMPORTRANGE(""https://docs.google.com/spreadsheets/d/1Yj_ptqi66GCucihVvJfMjLAmec39IyEx_6qawtMGysU/edit?usp=sharing"",""สบก!DA26"")"),0)</f>
        <v>0</v>
      </c>
      <c r="M318" s="103"/>
      <c r="N318" s="93">
        <f ca="1">IFERROR(__xludf.DUMMYFUNCTION("IMPORTRANGE(""https://docs.google.com/spreadsheets/d/1Yj_ptqi66GCucihVvJfMjLAmec39IyEx_6qawtMGysU/edit?usp=sharing"",""สบก!DE26"")"),0)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IFERROR(__xludf.DUMMYFUNCTION("IMPORTRANGE(""https://docs.google.com/spreadsheets/d/11923uPwbBZFjjGgGUA6NLw09EwE0CqkOc4q9oUmW1yo/edit?usp=sharing"",""พะเยา!J220"")"),0)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IFERROR(__xludf.DUMMYFUNCTION("IMPORTRANGE(""https://docs.google.com/spreadsheets/d/11923uPwbBZFjjGgGUA6NLw09EwE0CqkOc4q9oUmW1yo/edit?usp=sharing"",""พะเยา!J221"")"),0)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IFERROR(__xludf.DUMMYFUNCTION("IMPORTRANGE(""https://docs.google.com/spreadsheets/d/11923uPwbBZFjjGgGUA6NLw09EwE0CqkOc4q9oUmW1yo/edit?usp=sharing"",""พะเยา!J222"")"),0)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IFERROR(__xludf.DUMMYFUNCTION("IMPORTRANGE(""https://docs.google.com/spreadsheets/d/11923uPwbBZFjjGgGUA6NLw09EwE0CqkOc4q9oUmW1yo/edit?usp=sharing"",""พะเยา!J223"")"),0)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IFERROR(__xludf.DUMMYFUNCTION("IMPORTRANGE(""https://docs.google.com/spreadsheets/d/11923uPwbBZFjjGgGUA6NLw09EwE0CqkOc4q9oUmW1yo/edit?usp=sharing"",""พะเยา!I224"")"),0)</f>
        <v>0</v>
      </c>
      <c r="J324" s="213">
        <f ca="1">IFERROR(__xludf.DUMMYFUNCTION("IMPORTRANGE(""https://docs.google.com/spreadsheets/d/11923uPwbBZFjjGgGUA6NLw09EwE0CqkOc4q9oUmW1yo/edit?usp=sharing"",""พะเยา!J224"")"),0)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IFERROR(__xludf.DUMMYFUNCTION("IMPORTRANGE(""https://docs.google.com/spreadsheets/d/11923uPwbBZFjjGgGUA6NLw09EwE0CqkOc4q9oUmW1yo/edit?usp=sharing"",""พะเยา!J225"")"),0)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IFERROR(__xludf.DUMMYFUNCTION("IMPORTRANGE(""https://docs.google.com/spreadsheets/d/11923uPwbBZFjjGgGUA6NLw09EwE0CqkOc4q9oUmW1yo/edit?usp=sharing"",""พะเยา!J226"")"),0)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IFERROR(__xludf.DUMMYFUNCTION("IMPORTRANGE(""https://docs.google.com/spreadsheets/d/11923uPwbBZFjjGgGUA6NLw09EwE0CqkOc4q9oUmW1yo/edit?usp=sharing"",""พะเยา!I228"")"),580)</f>
        <v>580</v>
      </c>
      <c r="J328" s="347">
        <f ca="1">IFERROR(__xludf.DUMMYFUNCTION("IMPORTRANGE(""https://docs.google.com/spreadsheets/d/11923uPwbBZFjjGgGUA6NLw09EwE0CqkOc4q9oUmW1yo/edit?usp=sharing"",""พะเยา!J228"")"),112)</f>
        <v>112</v>
      </c>
      <c r="K328" s="325">
        <f ca="1">IF(I328&gt;0,J328*100/I328,0)</f>
        <v>19.310344827586206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613050</v>
      </c>
      <c r="M329" s="158">
        <f t="shared" ca="1" si="98"/>
        <v>338630</v>
      </c>
      <c r="N329" s="158">
        <f t="shared" ca="1" si="98"/>
        <v>177159</v>
      </c>
      <c r="O329" s="157">
        <f t="shared" ref="O329:O331" ca="1" si="99">IF(L329&gt;0,N329*100/L329,0)</f>
        <v>28.89796917054074</v>
      </c>
      <c r="P329" s="157">
        <f t="shared" ref="P329:P331" ca="1" si="100">IF(M329&gt;0,N329*100/M329,0)</f>
        <v>52.316392522812507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613050</v>
      </c>
      <c r="M331" s="163">
        <f t="shared" ca="1" si="102"/>
        <v>338630</v>
      </c>
      <c r="N331" s="163">
        <f t="shared" ca="1" si="102"/>
        <v>177159</v>
      </c>
      <c r="O331" s="162">
        <f t="shared" ca="1" si="99"/>
        <v>28.89796917054074</v>
      </c>
      <c r="P331" s="162">
        <f t="shared" ca="1" si="100"/>
        <v>52.316392522812507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598050</v>
      </c>
      <c r="M333" s="176">
        <f ca="1">IFERROR(__xludf.DUMMYFUNCTION("IMPORTRANGE(""https://docs.google.com/spreadsheets/d/1Yj_ptqi66GCucihVvJfMjLAmec39IyEx_6qawtMGysU/edit?usp=sharing"",""สบก!DL26"")"),338630)</f>
        <v>338630</v>
      </c>
      <c r="N333" s="177">
        <f ca="1">IFERROR(__xludf.DUMMYFUNCTION("IMPORTRANGE(""https://docs.google.com/spreadsheets/d/1Yj_ptqi66GCucihVvJfMjLAmec39IyEx_6qawtMGysU/edit?usp=sharing"",""สบก!DM26"")"),162159)</f>
        <v>162159</v>
      </c>
      <c r="O333" s="178">
        <f ca="1">IF(L333&gt;0,N333*100/L333,0)</f>
        <v>27.114622523200403</v>
      </c>
      <c r="P333" s="178">
        <f ca="1">IF(M333&gt;0,N333*100/M333,0)</f>
        <v>47.886779080412246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IFERROR(__xludf.DUMMYFUNCTION("IMPORTRANGE(""https://docs.google.com/spreadsheets/d/1Yj_ptqi66GCucihVvJfMjLAmec39IyEx_6qawtMGysU/edit?usp=sharing"",""สบก!DH26"")"),194400)</f>
        <v>194400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IFERROR(__xludf.DUMMYFUNCTION("IMPORTRANGE(""https://docs.google.com/spreadsheets/d/1Yj_ptqi66GCucihVvJfMjLAmec39IyEx_6qawtMGysU/edit?usp=sharing"",""สบก!DI26"")"),403650)</f>
        <v>403650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IFERROR(__xludf.DUMMYFUNCTION("IMPORTRANGE(""https://docs.google.com/spreadsheets/d/1Yj_ptqi66GCucihVvJfMjLAmec39IyEx_6qawtMGysU/edit?usp=sharing"",""สบก!DJ26"")"),15000)</f>
        <v>15000</v>
      </c>
      <c r="M337" s="103"/>
      <c r="N337" s="93">
        <f ca="1">IFERROR(__xludf.DUMMYFUNCTION("IMPORTRANGE(""https://docs.google.com/spreadsheets/d/1Yj_ptqi66GCucihVvJfMjLAmec39IyEx_6qawtMGysU/edit?usp=sharing"",""สบก!DN26"")"),15000)</f>
        <v>15000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IFERROR(__xludf.DUMMYFUNCTION("IMPORTRANGE(""https://docs.google.com/spreadsheets/d/11923uPwbBZFjjGgGUA6NLw09EwE0CqkOc4q9oUmW1yo/edit?usp=sharing"",""พะเยา!I234"")"),0)</f>
        <v>0</v>
      </c>
      <c r="J339" s="197">
        <f ca="1">IFERROR(__xludf.DUMMYFUNCTION("IMPORTRANGE(""https://docs.google.com/spreadsheets/d/11923uPwbBZFjjGgGUA6NLw09EwE0CqkOc4q9oUmW1yo/edit?usp=sharing"",""พะเยา!J234"")"),42)</f>
        <v>42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IFERROR(__xludf.DUMMYFUNCTION("IMPORTRANGE(""https://docs.google.com/spreadsheets/d/11923uPwbBZFjjGgGUA6NLw09EwE0CqkOc4q9oUmW1yo/edit?usp=sharing"",""พะเยา!I235"")"),2000)</f>
        <v>2000</v>
      </c>
      <c r="J340" s="197">
        <f ca="1">IFERROR(__xludf.DUMMYFUNCTION("IMPORTRANGE(""https://docs.google.com/spreadsheets/d/11923uPwbBZFjjGgGUA6NLw09EwE0CqkOc4q9oUmW1yo/edit?usp=sharing"",""พะเยา!J235"")"),345.229999999999)</f>
        <v>345.229999999999</v>
      </c>
      <c r="K340" s="350">
        <f t="shared" ca="1" si="103"/>
        <v>17.261499999999948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IFERROR(__xludf.DUMMYFUNCTION("IMPORTRANGE(""https://docs.google.com/spreadsheets/d/11923uPwbBZFjjGgGUA6NLw09EwE0CqkOc4q9oUmW1yo/edit?usp=sharing"",""พะเยา!I236"")"),580)</f>
        <v>580</v>
      </c>
      <c r="J341" s="197">
        <f ca="1">IFERROR(__xludf.DUMMYFUNCTION("IMPORTRANGE(""https://docs.google.com/spreadsheets/d/11923uPwbBZFjjGgGUA6NLw09EwE0CqkOc4q9oUmW1yo/edit?usp=sharing"",""พะเยา!J236"")"),111)</f>
        <v>111</v>
      </c>
      <c r="K341" s="350">
        <f t="shared" ca="1" si="103"/>
        <v>19.137931034482758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IFERROR(__xludf.DUMMYFUNCTION("IMPORTRANGE(""https://docs.google.com/spreadsheets/d/11923uPwbBZFjjGgGUA6NLw09EwE0CqkOc4q9oUmW1yo/edit?usp=sharing"",""พะเยา!I237"")"),0)</f>
        <v>0</v>
      </c>
      <c r="J342" s="197">
        <f ca="1">IFERROR(__xludf.DUMMYFUNCTION("IMPORTRANGE(""https://docs.google.com/spreadsheets/d/11923uPwbBZFjjGgGUA6NLw09EwE0CqkOc4q9oUmW1yo/edit?usp=sharing"",""พะเยา!J237"")"),831.02)</f>
        <v>831.02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IFERROR(__xludf.DUMMYFUNCTION("IMPORTRANGE(""https://docs.google.com/spreadsheets/d/11923uPwbBZFjjGgGUA6NLw09EwE0CqkOc4q9oUmW1yo/edit?usp=sharing"",""พะเยา!I238"")"),580)</f>
        <v>580</v>
      </c>
      <c r="J343" s="197">
        <f ca="1">IFERROR(__xludf.DUMMYFUNCTION("IMPORTRANGE(""https://docs.google.com/spreadsheets/d/11923uPwbBZFjjGgGUA6NLw09EwE0CqkOc4q9oUmW1yo/edit?usp=sharing"",""พะเยา!J238"")"),0)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IFERROR(__xludf.DUMMYFUNCTION("IMPORTRANGE(""https://docs.google.com/spreadsheets/d/11923uPwbBZFjjGgGUA6NLw09EwE0CqkOc4q9oUmW1yo/edit?usp=sharing"",""พะเยา!I239"")"),0)</f>
        <v>0</v>
      </c>
      <c r="J344" s="197">
        <f ca="1">IFERROR(__xludf.DUMMYFUNCTION("IMPORTRANGE(""https://docs.google.com/spreadsheets/d/11923uPwbBZFjjGgGUA6NLw09EwE0CqkOc4q9oUmW1yo/edit?usp=sharing"",""พะเยา!J239"")"),0)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IFERROR(__xludf.DUMMYFUNCTION("IMPORTRANGE(""https://docs.google.com/spreadsheets/d/11923uPwbBZFjjGgGUA6NLw09EwE0CqkOc4q9oUmW1yo/edit?usp=sharing"",""พะเยา!I240"")"),580)</f>
        <v>580</v>
      </c>
      <c r="J345" s="197">
        <f ca="1">IFERROR(__xludf.DUMMYFUNCTION("IMPORTRANGE(""https://docs.google.com/spreadsheets/d/11923uPwbBZFjjGgGUA6NLw09EwE0CqkOc4q9oUmW1yo/edit?usp=sharing"",""พะเยา!J240"")"),112)</f>
        <v>112</v>
      </c>
      <c r="K345" s="350">
        <f t="shared" ca="1" si="103"/>
        <v>19.310344827586206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IFERROR(__xludf.DUMMYFUNCTION("IMPORTRANGE(""https://docs.google.com/spreadsheets/d/11923uPwbBZFjjGgGUA6NLw09EwE0CqkOc4q9oUmW1yo/edit?usp=sharing"",""พะเยา!I241"")"),0)</f>
        <v>0</v>
      </c>
      <c r="J346" s="197">
        <f ca="1">IFERROR(__xludf.DUMMYFUNCTION("IMPORTRANGE(""https://docs.google.com/spreadsheets/d/11923uPwbBZFjjGgGUA6NLw09EwE0CqkOc4q9oUmW1yo/edit?usp=sharing"",""พะเยา!J241"")"),825.8)</f>
        <v>825.8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IFERROR(__xludf.DUMMYFUNCTION("IMPORTRANGE(""https://docs.google.com/spreadsheets/d/11923uPwbBZFjjGgGUA6NLw09EwE0CqkOc4q9oUmW1yo/edit?usp=sharing"",""พะเยา!L242"")"),2535236)</f>
        <v>2535236</v>
      </c>
      <c r="M347" s="366"/>
      <c r="N347" s="366">
        <f ca="1">IFERROR(__xludf.DUMMYFUNCTION("IMPORTRANGE(""https://docs.google.com/spreadsheets/d/11923uPwbBZFjjGgGUA6NLw09EwE0CqkOc4q9oUmW1yo/edit?usp=sharing"",""พะเยา!M242"")"),317217.089999999)</f>
        <v>317217.08999999898</v>
      </c>
      <c r="O347" s="366">
        <f ca="1">+IF(L347&gt;0,N347*100/L347,0)</f>
        <v>12.512329818604618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IFERROR(__xludf.DUMMYFUNCTION("IMPORTRANGE(""https://docs.google.com/spreadsheets/d/11923uPwbBZFjjGgGUA6NLw09EwE0CqkOc4q9oUmW1yo/edit?usp=sharing"",""พะเยา!I244"")"),105)</f>
        <v>105</v>
      </c>
      <c r="J349" s="379">
        <f ca="1">IFERROR(__xludf.DUMMYFUNCTION("IMPORTRANGE(""https://docs.google.com/spreadsheets/d/11923uPwbBZFjjGgGUA6NLw09EwE0CqkOc4q9oUmW1yo/edit?usp=sharing"",""พะเยา!J244"")"),0)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IFERROR(__xludf.DUMMYFUNCTION("IMPORTRANGE(""https://docs.google.com/spreadsheets/d/11923uPwbBZFjjGgGUA6NLw09EwE0CqkOc4q9oUmW1yo/edit?usp=sharing"",""พะเยา!L244"")"),363980)</f>
        <v>363980</v>
      </c>
      <c r="M349" s="381"/>
      <c r="N349" s="381">
        <f ca="1">IFERROR(__xludf.DUMMYFUNCTION("IMPORTRANGE(""https://docs.google.com/spreadsheets/d/11923uPwbBZFjjGgGUA6NLw09EwE0CqkOc4q9oUmW1yo/edit?usp=sharing"",""พะเยา!M244"")"),65709.74)</f>
        <v>65709.740000000005</v>
      </c>
      <c r="O349" s="381">
        <f ca="1">+IF(L349&gt;0,N349*100/L349,0)</f>
        <v>18.053118303203476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IFERROR(__xludf.DUMMYFUNCTION("IMPORTRANGE(""https://docs.google.com/spreadsheets/d/11923uPwbBZFjjGgGUA6NLw09EwE0CqkOc4q9oUmW1yo/edit?usp=sharing"",""พะเยา!I245"")"),60)</f>
        <v>60</v>
      </c>
      <c r="J350" s="379">
        <f ca="1">IFERROR(__xludf.DUMMYFUNCTION("IMPORTRANGE(""https://docs.google.com/spreadsheets/d/11923uPwbBZFjjGgGUA6NLw09EwE0CqkOc4q9oUmW1yo/edit?usp=sharing"",""พะเยา!J245"")"),0)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IFERROR(__xludf.DUMMYFUNCTION("IMPORTRANGE(""https://docs.google.com/spreadsheets/d/11923uPwbBZFjjGgGUA6NLw09EwE0CqkOc4q9oUmW1yo/edit?usp=sharing"",""พะเยา!L246"")"),0)</f>
        <v>0</v>
      </c>
      <c r="M351" s="172"/>
      <c r="N351" s="172">
        <f ca="1">IFERROR(__xludf.DUMMYFUNCTION("IMPORTRANGE(""https://docs.google.com/spreadsheets/d/11923uPwbBZFjjGgGUA6NLw09EwE0CqkOc4q9oUmW1yo/edit?usp=sharing"",""พะเยา!M246"")"),0)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IFERROR(__xludf.DUMMYFUNCTION("IMPORTRANGE(""https://docs.google.com/spreadsheets/d/11923uPwbBZFjjGgGUA6NLw09EwE0CqkOc4q9oUmW1yo/edit?usp=sharing"",""พะเยา!L247"")"),363980)</f>
        <v>363980</v>
      </c>
      <c r="M352" s="173"/>
      <c r="N352" s="172">
        <f ca="1">IFERROR(__xludf.DUMMYFUNCTION("IMPORTRANGE(""https://docs.google.com/spreadsheets/d/11923uPwbBZFjjGgGUA6NLw09EwE0CqkOc4q9oUmW1yo/edit?usp=sharing"",""พะเยา!M247"")"),65709.74)</f>
        <v>65709.740000000005</v>
      </c>
      <c r="O352" s="173">
        <f t="shared" ca="1" si="105"/>
        <v>18.053118303203476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IFERROR(__xludf.DUMMYFUNCTION("IMPORTRANGE(""https://docs.google.com/spreadsheets/d/11923uPwbBZFjjGgGUA6NLw09EwE0CqkOc4q9oUmW1yo/edit?usp=sharing"",""พะเยา!L248"")"),0)</f>
        <v>0</v>
      </c>
      <c r="M353" s="178"/>
      <c r="N353" s="178">
        <f ca="1">IFERROR(__xludf.DUMMYFUNCTION("IMPORTRANGE(""https://docs.google.com/spreadsheets/d/11923uPwbBZFjjGgGUA6NLw09EwE0CqkOc4q9oUmW1yo/edit?usp=sharing"",""พะเยา!M248"")"),0)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IFERROR(__xludf.DUMMYFUNCTION("IMPORTRANGE(""https://docs.google.com/spreadsheets/d/11923uPwbBZFjjGgGUA6NLw09EwE0CqkOc4q9oUmW1yo/edit?usp=sharing"",""พะเยา!L249"")"),363980)</f>
        <v>363980</v>
      </c>
      <c r="M354" s="178"/>
      <c r="N354" s="175">
        <f ca="1">IFERROR(__xludf.DUMMYFUNCTION("IMPORTRANGE(""https://docs.google.com/spreadsheets/d/11923uPwbBZFjjGgGUA6NLw09EwE0CqkOc4q9oUmW1yo/edit?usp=sharing"",""พะเยา!M249"")"),65709.74)</f>
        <v>65709.740000000005</v>
      </c>
      <c r="O354" s="178">
        <f t="shared" ca="1" si="105"/>
        <v>18.053118303203476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IFERROR(__xludf.DUMMYFUNCTION("IMPORTRANGE(""https://docs.google.com/spreadsheets/d/11923uPwbBZFjjGgGUA6NLw09EwE0CqkOc4q9oUmW1yo/edit?usp=sharing"",""พะเยา!M250"")"),21500)</f>
        <v>21500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IFERROR(__xludf.DUMMYFUNCTION("IMPORTRANGE(""https://docs.google.com/spreadsheets/d/11923uPwbBZFjjGgGUA6NLw09EwE0CqkOc4q9oUmW1yo/edit?usp=sharing"",""พะเยา!M251"")"),0)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IFERROR(__xludf.DUMMYFUNCTION("IMPORTRANGE(""https://docs.google.com/spreadsheets/d/11923uPwbBZFjjGgGUA6NLw09EwE0CqkOc4q9oUmW1yo/edit?usp=sharing"",""พะเยา!M252"")"),26600.74)</f>
        <v>26600.74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IFERROR(__xludf.DUMMYFUNCTION("IMPORTRANGE(""https://docs.google.com/spreadsheets/d/11923uPwbBZFjjGgGUA6NLw09EwE0CqkOc4q9oUmW1yo/edit?usp=sharing"",""พะเยา!M253"")"),17609)</f>
        <v>17609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IFERROR(__xludf.DUMMYFUNCTION("IMPORTRANGE(""https://docs.google.com/spreadsheets/d/11923uPwbBZFjjGgGUA6NLw09EwE0CqkOc4q9oUmW1yo/edit?usp=sharing"",""พะเยา!J255"")"),0)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IFERROR(__xludf.DUMMYFUNCTION("IMPORTRANGE(""https://docs.google.com/spreadsheets/d/11923uPwbBZFjjGgGUA6NLw09EwE0CqkOc4q9oUmW1yo/edit?usp=sharing"",""พะเยา!J256"")"),1)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IFERROR(__xludf.DUMMYFUNCTION("IMPORTRANGE(""https://docs.google.com/spreadsheets/d/11923uPwbBZFjjGgGUA6NLw09EwE0CqkOc4q9oUmW1yo/edit?usp=sharing"",""พะเยา!J257"")"),1)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IFERROR(__xludf.DUMMYFUNCTION("IMPORTRANGE(""https://docs.google.com/spreadsheets/d/11923uPwbBZFjjGgGUA6NLw09EwE0CqkOc4q9oUmW1yo/edit?usp=sharing"",""พะเยา!J258"")"),1)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IFERROR(__xludf.DUMMYFUNCTION("IMPORTRANGE(""https://docs.google.com/spreadsheets/d/11923uPwbBZFjjGgGUA6NLw09EwE0CqkOc4q9oUmW1yo/edit?usp=sharing"",""พะเยา!J166"")"),0)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IFERROR(__xludf.DUMMYFUNCTION("IMPORTRANGE(""https://docs.google.com/spreadsheets/d/11923uPwbBZFjjGgGUA6NLw09EwE0CqkOc4q9oUmW1yo/edit?usp=sharing"",""พะเยา!J166"")"),0)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IFERROR(__xludf.DUMMYFUNCTION("IMPORTRANGE(""https://docs.google.com/spreadsheets/d/11923uPwbBZFjjGgGUA6NLw09EwE0CqkOc4q9oUmW1yo/edit?usp=sharing"",""พะเยา!J166"")"),0)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IFERROR(__xludf.DUMMYFUNCTION("IMPORTRANGE(""https://docs.google.com/spreadsheets/d/11923uPwbBZFjjGgGUA6NLw09EwE0CqkOc4q9oUmW1yo/edit?usp=sharing"",""พะเยา!J166"")"),0)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IFERROR(__xludf.DUMMYFUNCTION("IMPORTRANGE(""https://docs.google.com/spreadsheets/d/11923uPwbBZFjjGgGUA6NLw09EwE0CqkOc4q9oUmW1yo/edit?usp=sharing"",""พะเยา!I263"")"),60)</f>
        <v>60</v>
      </c>
      <c r="J368" s="197">
        <f ca="1">IFERROR(__xludf.DUMMYFUNCTION("IMPORTRANGE(""https://docs.google.com/spreadsheets/d/11923uPwbBZFjjGgGUA6NLw09EwE0CqkOc4q9oUmW1yo/edit?usp=sharing"",""พะเยา!J263"")"),0)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IFERROR(__xludf.DUMMYFUNCTION("IMPORTRANGE(""https://docs.google.com/spreadsheets/d/11923uPwbBZFjjGgGUA6NLw09EwE0CqkOc4q9oUmW1yo/edit?usp=sharing"",""พะเยา!I164"")"),0)</f>
        <v>0</v>
      </c>
      <c r="J369" s="213">
        <f ca="1">IFERROR(__xludf.DUMMYFUNCTION("IMPORTRANGE(""https://docs.google.com/spreadsheets/d/11923uPwbBZFjjGgGUA6NLw09EwE0CqkOc4q9oUmW1yo/edit?usp=sharing"",""พะเยา!J164"")"),0)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IFERROR(__xludf.DUMMYFUNCTION("IMPORTRANGE(""https://docs.google.com/spreadsheets/d/11923uPwbBZFjjGgGUA6NLw09EwE0CqkOc4q9oUmW1yo/edit?usp=sharing"",""พะเยา!I265"")"),60)</f>
        <v>60</v>
      </c>
      <c r="J370" s="213">
        <f ca="1">IFERROR(__xludf.DUMMYFUNCTION("IMPORTRANGE(""https://docs.google.com/spreadsheets/d/11923uPwbBZFjjGgGUA6NLw09EwE0CqkOc4q9oUmW1yo/edit?usp=sharing"",""พะเยา!J265"")"),40)</f>
        <v>40</v>
      </c>
      <c r="K370" s="171">
        <f t="shared" ca="1" si="106"/>
        <v>66.666666666666671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IFERROR(__xludf.DUMMYFUNCTION("IMPORTRANGE(""https://docs.google.com/spreadsheets/d/11923uPwbBZFjjGgGUA6NLw09EwE0CqkOc4q9oUmW1yo/edit?usp=sharing"",""พะเยา!I164"")"),0)</f>
        <v>0</v>
      </c>
      <c r="J371" s="198">
        <f ca="1">IFERROR(__xludf.DUMMYFUNCTION("IMPORTRANGE(""https://docs.google.com/spreadsheets/d/11923uPwbBZFjjGgGUA6NLw09EwE0CqkOc4q9oUmW1yo/edit?usp=sharing"",""พะเยา!J164"")"),0)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IFERROR(__xludf.DUMMYFUNCTION("IMPORTRANGE(""https://docs.google.com/spreadsheets/d/11923uPwbBZFjjGgGUA6NLw09EwE0CqkOc4q9oUmW1yo/edit?usp=sharing"",""พะเยา!I267"")"),60)</f>
        <v>60</v>
      </c>
      <c r="J372" s="198">
        <f ca="1">IFERROR(__xludf.DUMMYFUNCTION("IMPORTRANGE(""https://docs.google.com/spreadsheets/d/11923uPwbBZFjjGgGUA6NLw09EwE0CqkOc4q9oUmW1yo/edit?usp=sharing"",""พะเยา!J267"")"),0)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IFERROR(__xludf.DUMMYFUNCTION("IMPORTRANGE(""https://docs.google.com/spreadsheets/d/11923uPwbBZFjjGgGUA6NLw09EwE0CqkOc4q9oUmW1yo/edit?usp=sharing"",""พะเยา!I164"")"),0)</f>
        <v>0</v>
      </c>
      <c r="J373" s="213">
        <f ca="1">IFERROR(__xludf.DUMMYFUNCTION("IMPORTRANGE(""https://docs.google.com/spreadsheets/d/11923uPwbBZFjjGgGUA6NLw09EwE0CqkOc4q9oUmW1yo/edit?usp=sharing"",""พะเยา!J164"")"),0)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IFERROR(__xludf.DUMMYFUNCTION("IMPORTRANGE(""https://docs.google.com/spreadsheets/d/11923uPwbBZFjjGgGUA6NLw09EwE0CqkOc4q9oUmW1yo/edit?usp=sharing"",""พะเยา!I164"")"),0)</f>
        <v>0</v>
      </c>
      <c r="J374" s="197">
        <f ca="1">IFERROR(__xludf.DUMMYFUNCTION("IMPORTRANGE(""https://docs.google.com/spreadsheets/d/11923uPwbBZFjjGgGUA6NLw09EwE0CqkOc4q9oUmW1yo/edit?usp=sharing"",""พะเยา!J164"")"),0)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IFERROR(__xludf.DUMMYFUNCTION("IMPORTRANGE(""https://docs.google.com/spreadsheets/d/11923uPwbBZFjjGgGUA6NLw09EwE0CqkOc4q9oUmW1yo/edit?usp=sharing"",""พะเยา!I270"")"),105)</f>
        <v>105</v>
      </c>
      <c r="J375" s="197">
        <f ca="1">IFERROR(__xludf.DUMMYFUNCTION("IMPORTRANGE(""https://docs.google.com/spreadsheets/d/11923uPwbBZFjjGgGUA6NLw09EwE0CqkOc4q9oUmW1yo/edit?usp=sharing"",""พะเยา!J270"")"),0)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IFERROR(__xludf.DUMMYFUNCTION("IMPORTRANGE(""https://docs.google.com/spreadsheets/d/11923uPwbBZFjjGgGUA6NLw09EwE0CqkOc4q9oUmW1yo/edit?usp=sharing"",""พะเยา!I271"")"),30)</f>
        <v>30</v>
      </c>
      <c r="J376" s="198">
        <f ca="1">IFERROR(__xludf.DUMMYFUNCTION("IMPORTRANGE(""https://docs.google.com/spreadsheets/d/11923uPwbBZFjjGgGUA6NLw09EwE0CqkOc4q9oUmW1yo/edit?usp=sharing"",""พะเยา!J271"")"),0)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IFERROR(__xludf.DUMMYFUNCTION("IMPORTRANGE(""https://docs.google.com/spreadsheets/d/11923uPwbBZFjjGgGUA6NLw09EwE0CqkOc4q9oUmW1yo/edit?usp=sharing"",""พะเยา!I272"")"),75)</f>
        <v>75</v>
      </c>
      <c r="J377" s="213">
        <f ca="1">IFERROR(__xludf.DUMMYFUNCTION("IMPORTRANGE(""https://docs.google.com/spreadsheets/d/11923uPwbBZFjjGgGUA6NLw09EwE0CqkOc4q9oUmW1yo/edit?usp=sharing"",""พะเยา!J272"")"),0)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IFERROR(__xludf.DUMMYFUNCTION("IMPORTRANGE(""https://docs.google.com/spreadsheets/d/11923uPwbBZFjjGgGUA6NLw09EwE0CqkOc4q9oUmW1yo/edit?usp=sharing"",""พะเยา!J273"")"),0)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IFERROR(__xludf.DUMMYFUNCTION("IMPORTRANGE(""https://docs.google.com/spreadsheets/d/11923uPwbBZFjjGgGUA6NLw09EwE0CqkOc4q9oUmW1yo/edit?usp=sharing"",""พะเยา!J274"")"),0)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IFERROR(__xludf.DUMMYFUNCTION("IMPORTRANGE(""https://docs.google.com/spreadsheets/d/11923uPwbBZFjjGgGUA6NLw09EwE0CqkOc4q9oUmW1yo/edit?usp=sharing"",""พะเยา!I275"")"),1000)</f>
        <v>1000</v>
      </c>
      <c r="J380" s="379">
        <f ca="1">IFERROR(__xludf.DUMMYFUNCTION("IMPORTRANGE(""https://docs.google.com/spreadsheets/d/11923uPwbBZFjjGgGUA6NLw09EwE0CqkOc4q9oUmW1yo/edit?usp=sharing"",""พะเยา!J275"")"),0)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IFERROR(__xludf.DUMMYFUNCTION("IMPORTRANGE(""https://docs.google.com/spreadsheets/d/11923uPwbBZFjjGgGUA6NLw09EwE0CqkOc4q9oUmW1yo/edit?usp=sharing"",""พะเยา!L275"")"),1028520)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IFERROR(__xludf.DUMMYFUNCTION("IMPORTRANGE(""https://docs.google.com/spreadsheets/d/11923uPwbBZFjjGgGUA6NLw09EwE0CqkOc4q9oUmW1yo/edit?usp=sharing"",""พะเยา!M275"")"),107482)</f>
        <v>107482</v>
      </c>
      <c r="O380" s="381">
        <f ca="1">+IF(L380&gt;0,N380*100/L380,0)</f>
        <v>10.450161396958737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IFERROR(__xludf.DUMMYFUNCTION("IMPORTRANGE(""https://docs.google.com/spreadsheets/d/11923uPwbBZFjjGgGUA6NLw09EwE0CqkOc4q9oUmW1yo/edit?usp=sharing"",""พะเยา!I276"")"),100)</f>
        <v>100</v>
      </c>
      <c r="J381" s="379">
        <f ca="1">IFERROR(__xludf.DUMMYFUNCTION("IMPORTRANGE(""https://docs.google.com/spreadsheets/d/11923uPwbBZFjjGgGUA6NLw09EwE0CqkOc4q9oUmW1yo/edit?usp=sharing"",""พะเยา!J276"")"),50)</f>
        <v>50</v>
      </c>
      <c r="K381" s="380">
        <f t="shared" ca="1" si="108"/>
        <v>50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IFERROR(__xludf.DUMMYFUNCTION("IMPORTRANGE(""https://docs.google.com/spreadsheets/d/11923uPwbBZFjjGgGUA6NLw09EwE0CqkOc4q9oUmW1yo/edit?usp=sharing"",""พะเยา!L277"")"),0)</f>
        <v>0</v>
      </c>
      <c r="M382" s="172"/>
      <c r="N382" s="172">
        <f ca="1">IFERROR(__xludf.DUMMYFUNCTION("IMPORTRANGE(""https://docs.google.com/spreadsheets/d/11923uPwbBZFjjGgGUA6NLw09EwE0CqkOc4q9oUmW1yo/edit?usp=sharing"",""พะเยา!M277"")"),0)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IFERROR(__xludf.DUMMYFUNCTION("IMPORTRANGE(""https://docs.google.com/spreadsheets/d/11923uPwbBZFjjGgGUA6NLw09EwE0CqkOc4q9oUmW1yo/edit?usp=sharing"",""พะเยา!L278"")"),1028520)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IFERROR(__xludf.DUMMYFUNCTION("IMPORTRANGE(""https://docs.google.com/spreadsheets/d/11923uPwbBZFjjGgGUA6NLw09EwE0CqkOc4q9oUmW1yo/edit?usp=sharing"",""พะเยา!M278"")"),107482)</f>
        <v>107482</v>
      </c>
      <c r="O383" s="173">
        <f t="shared" ca="1" si="109"/>
        <v>10.450161396958737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IFERROR(__xludf.DUMMYFUNCTION("IMPORTRANGE(""https://docs.google.com/spreadsheets/d/11923uPwbBZFjjGgGUA6NLw09EwE0CqkOc4q9oUmW1yo/edit?usp=sharing"",""พะเยา!L279"")"),0)</f>
        <v>0</v>
      </c>
      <c r="M384" s="178"/>
      <c r="N384" s="178">
        <f ca="1">IFERROR(__xludf.DUMMYFUNCTION("IMPORTRANGE(""https://docs.google.com/spreadsheets/d/11923uPwbBZFjjGgGUA6NLw09EwE0CqkOc4q9oUmW1yo/edit?usp=sharing"",""พะเยา!M279"")"),0)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IFERROR(__xludf.DUMMYFUNCTION("IMPORTRANGE(""https://docs.google.com/spreadsheets/d/11923uPwbBZFjjGgGUA6NLw09EwE0CqkOc4q9oUmW1yo/edit?usp=sharing"",""พะเยา!L280"")"),1028520)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IFERROR(__xludf.DUMMYFUNCTION("IMPORTRANGE(""https://docs.google.com/spreadsheets/d/11923uPwbBZFjjGgGUA6NLw09EwE0CqkOc4q9oUmW1yo/edit?usp=sharing"",""พะเยา!M280"")"),107482)</f>
        <v>107482</v>
      </c>
      <c r="O385" s="178">
        <f t="shared" ca="1" si="109"/>
        <v>10.450161396958737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IFERROR(__xludf.DUMMYFUNCTION("IMPORTRANGE(""https://docs.google.com/spreadsheets/d/11923uPwbBZFjjGgGUA6NLw09EwE0CqkOc4q9oUmW1yo/edit?usp=sharing"",""พะเยา!M281"")"),79870)</f>
        <v>79870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IFERROR(__xludf.DUMMYFUNCTION("IMPORTRANGE(""https://docs.google.com/spreadsheets/d/11923uPwbBZFjjGgGUA6NLw09EwE0CqkOc4q9oUmW1yo/edit?usp=sharing"",""พะเยา!M282"")"),0)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IFERROR(__xludf.DUMMYFUNCTION("IMPORTRANGE(""https://docs.google.com/spreadsheets/d/11923uPwbBZFjjGgGUA6NLw09EwE0CqkOc4q9oUmW1yo/edit?usp=sharing"",""พะเยา!M283"")"),20532)</f>
        <v>20532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IFERROR(__xludf.DUMMYFUNCTION("IMPORTRANGE(""https://docs.google.com/spreadsheets/d/11923uPwbBZFjjGgGUA6NLw09EwE0CqkOc4q9oUmW1yo/edit?usp=sharing"",""พะเยา!M284"")"),7080)</f>
        <v>7080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IFERROR(__xludf.DUMMYFUNCTION("IMPORTRANGE(""https://docs.google.com/spreadsheets/d/11923uPwbBZFjjGgGUA6NLw09EwE0CqkOc4q9oUmW1yo/edit?usp=sharing"",""พะเยา!J286"")"),0)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IFERROR(__xludf.DUMMYFUNCTION("IMPORTRANGE(""https://docs.google.com/spreadsheets/d/11923uPwbBZFjjGgGUA6NLw09EwE0CqkOc4q9oUmW1yo/edit?usp=sharing"",""พะเยา!J287"")"),1)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IFERROR(__xludf.DUMMYFUNCTION("IMPORTRANGE(""https://docs.google.com/spreadsheets/d/11923uPwbBZFjjGgGUA6NLw09EwE0CqkOc4q9oUmW1yo/edit?usp=sharing"",""พะเยา!J288"")"),1)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IFERROR(__xludf.DUMMYFUNCTION("IMPORTRANGE(""https://docs.google.com/spreadsheets/d/11923uPwbBZFjjGgGUA6NLw09EwE0CqkOc4q9oUmW1yo/edit?usp=sharing"",""พะเยา!J289"")"),1)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IFERROR(__xludf.DUMMYFUNCTION("IMPORTRANGE(""https://docs.google.com/spreadsheets/d/11923uPwbBZFjjGgGUA6NLw09EwE0CqkOc4q9oUmW1yo/edit?usp=sharing"",""พะเยา!I291"")"),100)</f>
        <v>100</v>
      </c>
      <c r="J396" s="207">
        <f ca="1">IFERROR(__xludf.DUMMYFUNCTION("IMPORTRANGE(""https://docs.google.com/spreadsheets/d/11923uPwbBZFjjGgGUA6NLw09EwE0CqkOc4q9oUmW1yo/edit?usp=sharing"",""พะเยา!J291"")"),50)</f>
        <v>50</v>
      </c>
      <c r="K396" s="171">
        <f t="shared" ref="K396:K398" ca="1" si="110">IF(I396&gt;0,J396*100/I396,0)</f>
        <v>50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IFERROR(__xludf.DUMMYFUNCTION("IMPORTRANGE(""https://docs.google.com/spreadsheets/d/11923uPwbBZFjjGgGUA6NLw09EwE0CqkOc4q9oUmW1yo/edit?usp=sharing"",""พะเยา!I292"")"),1000)</f>
        <v>1000</v>
      </c>
      <c r="J397" s="207">
        <f ca="1">IFERROR(__xludf.DUMMYFUNCTION("IMPORTRANGE(""https://docs.google.com/spreadsheets/d/11923uPwbBZFjjGgGUA6NLw09EwE0CqkOc4q9oUmW1yo/edit?usp=sharing"",""พะเยา!J292"")"),0)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IFERROR(__xludf.DUMMYFUNCTION("IMPORTRANGE(""https://docs.google.com/spreadsheets/d/11923uPwbBZFjjGgGUA6NLw09EwE0CqkOc4q9oUmW1yo/edit?usp=sharing"",""พะเยา!I293"")"),100)</f>
        <v>100</v>
      </c>
      <c r="J398" s="207">
        <f ca="1">IFERROR(__xludf.DUMMYFUNCTION("IMPORTRANGE(""https://docs.google.com/spreadsheets/d/11923uPwbBZFjjGgGUA6NLw09EwE0CqkOc4q9oUmW1yo/edit?usp=sharing"",""พะเยา!J293"")"),0)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IFERROR(__xludf.DUMMYFUNCTION("IMPORTRANGE(""https://docs.google.com/spreadsheets/d/11923uPwbBZFjjGgGUA6NLw09EwE0CqkOc4q9oUmW1yo/edit?usp=sharing"",""พะเยา!J294"")"),0)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IFERROR(__xludf.DUMMYFUNCTION("IMPORTRANGE(""https://docs.google.com/spreadsheets/d/11923uPwbBZFjjGgGUA6NLw09EwE0CqkOc4q9oUmW1yo/edit?usp=sharing"",""พะเยา!J295"")"),0)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IFERROR(__xludf.DUMMYFUNCTION("IMPORTRANGE(""https://docs.google.com/spreadsheets/d/11923uPwbBZFjjGgGUA6NLw09EwE0CqkOc4q9oUmW1yo/edit?usp=sharing"",""พะเยา!I296"")"),261)</f>
        <v>261</v>
      </c>
      <c r="J401" s="379">
        <f ca="1">IFERROR(__xludf.DUMMYFUNCTION("IMPORTRANGE(""https://docs.google.com/spreadsheets/d/11923uPwbBZFjjGgGUA6NLw09EwE0CqkOc4q9oUmW1yo/edit?usp=sharing"",""พะเยา!J296"")"),0)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IFERROR(__xludf.DUMMYFUNCTION("IMPORTRANGE(""https://docs.google.com/spreadsheets/d/11923uPwbBZFjjGgGUA6NLw09EwE0CqkOc4q9oUmW1yo/edit?usp=sharing"",""พะเยา!L296"")"),271920)</f>
        <v>271920</v>
      </c>
      <c r="M401" s="381"/>
      <c r="N401" s="381">
        <f ca="1">IFERROR(__xludf.DUMMYFUNCTION("IMPORTRANGE(""https://docs.google.com/spreadsheets/d/11923uPwbBZFjjGgGUA6NLw09EwE0CqkOc4q9oUmW1yo/edit?usp=sharing"",""พะเยา!M296"")"),0)</f>
        <v>0</v>
      </c>
      <c r="O401" s="381">
        <f ca="1">+IF(L401&gt;0,N401*100/L401,0)</f>
        <v>0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IFERROR(__xludf.DUMMYFUNCTION("IMPORTRANGE(""https://docs.google.com/spreadsheets/d/11923uPwbBZFjjGgGUA6NLw09EwE0CqkOc4q9oUmW1yo/edit?usp=sharing"",""พะเยา!I297"")"),87)</f>
        <v>87</v>
      </c>
      <c r="J402" s="379">
        <f ca="1">IFERROR(__xludf.DUMMYFUNCTION("IMPORTRANGE(""https://docs.google.com/spreadsheets/d/11923uPwbBZFjjGgGUA6NLw09EwE0CqkOc4q9oUmW1yo/edit?usp=sharing"",""พะเยา!J297"")"),20)</f>
        <v>20</v>
      </c>
      <c r="K402" s="380">
        <f t="shared" ca="1" si="111"/>
        <v>22.988505747126435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IFERROR(__xludf.DUMMYFUNCTION("IMPORTRANGE(""https://docs.google.com/spreadsheets/d/11923uPwbBZFjjGgGUA6NLw09EwE0CqkOc4q9oUmW1yo/edit?usp=sharing"",""พะเยา!L298"")"),0)</f>
        <v>0</v>
      </c>
      <c r="M403" s="172"/>
      <c r="N403" s="178">
        <f ca="1">IFERROR(__xludf.DUMMYFUNCTION("IMPORTRANGE(""https://docs.google.com/spreadsheets/d/11923uPwbBZFjjGgGUA6NLw09EwE0CqkOc4q9oUmW1yo/edit?usp=sharing"",""พะเยา!M298"")"),0)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IFERROR(__xludf.DUMMYFUNCTION("IMPORTRANGE(""https://docs.google.com/spreadsheets/d/11923uPwbBZFjjGgGUA6NLw09EwE0CqkOc4q9oUmW1yo/edit?usp=sharing"",""พะเยา!L299"")"),271920)</f>
        <v>271920</v>
      </c>
      <c r="M404" s="173"/>
      <c r="N404" s="178">
        <f ca="1">IFERROR(__xludf.DUMMYFUNCTION("IMPORTRANGE(""https://docs.google.com/spreadsheets/d/11923uPwbBZFjjGgGUA6NLw09EwE0CqkOc4q9oUmW1yo/edit?usp=sharing"",""พะเยา!M299"")"),0)</f>
        <v>0</v>
      </c>
      <c r="O404" s="178">
        <f t="shared" ca="1" si="112"/>
        <v>0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IFERROR(__xludf.DUMMYFUNCTION("IMPORTRANGE(""https://docs.google.com/spreadsheets/d/11923uPwbBZFjjGgGUA6NLw09EwE0CqkOc4q9oUmW1yo/edit?usp=sharing"",""พะเยา!L300"")"),0)</f>
        <v>0</v>
      </c>
      <c r="M405" s="178"/>
      <c r="N405" s="178">
        <f ca="1">IFERROR(__xludf.DUMMYFUNCTION("IMPORTRANGE(""https://docs.google.com/spreadsheets/d/11923uPwbBZFjjGgGUA6NLw09EwE0CqkOc4q9oUmW1yo/edit?usp=sharing"",""พะเยา!M300"")"),0)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IFERROR(__xludf.DUMMYFUNCTION("IMPORTRANGE(""https://docs.google.com/spreadsheets/d/11923uPwbBZFjjGgGUA6NLw09EwE0CqkOc4q9oUmW1yo/edit?usp=sharing"",""พะเยา!L301"")"),271920)</f>
        <v>271920</v>
      </c>
      <c r="M406" s="178"/>
      <c r="N406" s="178">
        <f ca="1">IFERROR(__xludf.DUMMYFUNCTION("IMPORTRANGE(""https://docs.google.com/spreadsheets/d/11923uPwbBZFjjGgGUA6NLw09EwE0CqkOc4q9oUmW1yo/edit?usp=sharing"",""พะเยา!M301"")"),0)</f>
        <v>0</v>
      </c>
      <c r="O406" s="178">
        <f t="shared" ca="1" si="112"/>
        <v>0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IFERROR(__xludf.DUMMYFUNCTION("IMPORTRANGE(""https://docs.google.com/spreadsheets/d/11923uPwbBZFjjGgGUA6NLw09EwE0CqkOc4q9oUmW1yo/edit?usp=sharing"",""พะเยา!M302"")"),0)</f>
        <v>0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IFERROR(__xludf.DUMMYFUNCTION("IMPORTRANGE(""https://docs.google.com/spreadsheets/d/11923uPwbBZFjjGgGUA6NLw09EwE0CqkOc4q9oUmW1yo/edit?usp=sharing"",""พะเยา!M303"")"),0)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IFERROR(__xludf.DUMMYFUNCTION("IMPORTRANGE(""https://docs.google.com/spreadsheets/d/11923uPwbBZFjjGgGUA6NLw09EwE0CqkOc4q9oUmW1yo/edit?usp=sharing"",""พะเยา!M304"")"),0)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IFERROR(__xludf.DUMMYFUNCTION("IMPORTRANGE(""https://docs.google.com/spreadsheets/d/11923uPwbBZFjjGgGUA6NLw09EwE0CqkOc4q9oUmW1yo/edit?usp=sharing"",""พะเยา!M305"")"),0)</f>
        <v>0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IFERROR(__xludf.DUMMYFUNCTION("IMPORTRANGE(""https://docs.google.com/spreadsheets/d/11923uPwbBZFjjGgGUA6NLw09EwE0CqkOc4q9oUmW1yo/edit?usp=sharing"",""พะเยา!J307"")"),0)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IFERROR(__xludf.DUMMYFUNCTION("IMPORTRANGE(""https://docs.google.com/spreadsheets/d/11923uPwbBZFjjGgGUA6NLw09EwE0CqkOc4q9oUmW1yo/edit?usp=sharing"",""พะเยา!J308"")"),1)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IFERROR(__xludf.DUMMYFUNCTION("IMPORTRANGE(""https://docs.google.com/spreadsheets/d/11923uPwbBZFjjGgGUA6NLw09EwE0CqkOc4q9oUmW1yo/edit?usp=sharing"",""พะเยา!J309"")"),1)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IFERROR(__xludf.DUMMYFUNCTION("IMPORTRANGE(""https://docs.google.com/spreadsheets/d/11923uPwbBZFjjGgGUA6NLw09EwE0CqkOc4q9oUmW1yo/edit?usp=sharing"",""พะเยา!J310"")"),1)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IFERROR(__xludf.DUMMYFUNCTION("IMPORTRANGE(""https://docs.google.com/spreadsheets/d/11923uPwbBZFjjGgGUA6NLw09EwE0CqkOc4q9oUmW1yo/edit?usp=sharing"",""พะเยา!I311"")"),87)</f>
        <v>87</v>
      </c>
      <c r="J416" s="210">
        <f ca="1">IFERROR(__xludf.DUMMYFUNCTION("IMPORTRANGE(""https://docs.google.com/spreadsheets/d/11923uPwbBZFjjGgGUA6NLw09EwE0CqkOc4q9oUmW1yo/edit?usp=sharing"",""พะเยา!J311"")"),20)</f>
        <v>20</v>
      </c>
      <c r="K416" s="211">
        <f t="shared" ref="K416:K432" ca="1" si="113">IF(I416&gt;0,J416*100/I416,0)</f>
        <v>22.988505747126435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IFERROR(__xludf.DUMMYFUNCTION("IMPORTRANGE(""https://docs.google.com/spreadsheets/d/11923uPwbBZFjjGgGUA6NLw09EwE0CqkOc4q9oUmW1yo/edit?usp=sharing"",""พะเยา!I312"")"),20)</f>
        <v>20</v>
      </c>
      <c r="J417" s="400">
        <f ca="1">IFERROR(__xludf.DUMMYFUNCTION("IMPORTRANGE(""https://docs.google.com/spreadsheets/d/11923uPwbBZFjjGgGUA6NLw09EwE0CqkOc4q9oUmW1yo/edit?usp=sharing"",""พะเยา!J312"")"),20)</f>
        <v>20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IFERROR(__xludf.DUMMYFUNCTION("IMPORTRANGE(""https://docs.google.com/spreadsheets/d/11923uPwbBZFjjGgGUA6NLw09EwE0CqkOc4q9oUmW1yo/edit?usp=sharing"",""พะเยา!I313"")"),60)</f>
        <v>60</v>
      </c>
      <c r="J418" s="401">
        <f ca="1">IFERROR(__xludf.DUMMYFUNCTION("IMPORTRANGE(""https://docs.google.com/spreadsheets/d/11923uPwbBZFjjGgGUA6NLw09EwE0CqkOc4q9oUmW1yo/edit?usp=sharing"",""พะเยา!J313"")"),0)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IFERROR(__xludf.DUMMYFUNCTION("IMPORTRANGE(""https://docs.google.com/spreadsheets/d/11923uPwbBZFjjGgGUA6NLw09EwE0CqkOc4q9oUmW1yo/edit?usp=sharing"",""พะเยา!I314"")"),20)</f>
        <v>20</v>
      </c>
      <c r="J419" s="402">
        <f ca="1">IFERROR(__xludf.DUMMYFUNCTION("IMPORTRANGE(""https://docs.google.com/spreadsheets/d/11923uPwbBZFjjGgGUA6NLw09EwE0CqkOc4q9oUmW1yo/edit?usp=sharing"",""พะเยา!J314"")"),20)</f>
        <v>20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IFERROR(__xludf.DUMMYFUNCTION("IMPORTRANGE(""https://docs.google.com/spreadsheets/d/11923uPwbBZFjjGgGUA6NLw09EwE0CqkOc4q9oUmW1yo/edit?usp=sharing"",""พะเยา!I315"")"),20)</f>
        <v>20</v>
      </c>
      <c r="J420" s="402">
        <f ca="1">IFERROR(__xludf.DUMMYFUNCTION("IMPORTRANGE(""https://docs.google.com/spreadsheets/d/11923uPwbBZFjjGgGUA6NLw09EwE0CqkOc4q9oUmW1yo/edit?usp=sharing"",""พะเยา!J315"")"),20)</f>
        <v>20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IFERROR(__xludf.DUMMYFUNCTION("IMPORTRANGE(""https://docs.google.com/spreadsheets/d/11923uPwbBZFjjGgGUA6NLw09EwE0CqkOc4q9oUmW1yo/edit?usp=sharing"",""พะเยา!I316"")"),50)</f>
        <v>50</v>
      </c>
      <c r="J421" s="400">
        <f ca="1">IFERROR(__xludf.DUMMYFUNCTION("IMPORTRANGE(""https://docs.google.com/spreadsheets/d/11923uPwbBZFjjGgGUA6NLw09EwE0CqkOc4q9oUmW1yo/edit?usp=sharing"",""พะเยา!J316"")"),0)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IFERROR(__xludf.DUMMYFUNCTION("IMPORTRANGE(""https://docs.google.com/spreadsheets/d/11923uPwbBZFjjGgGUA6NLw09EwE0CqkOc4q9oUmW1yo/edit?usp=sharing"",""พะเยา!I317"")"),150)</f>
        <v>150</v>
      </c>
      <c r="J422" s="401">
        <f ca="1">IFERROR(__xludf.DUMMYFUNCTION("IMPORTRANGE(""https://docs.google.com/spreadsheets/d/11923uPwbBZFjjGgGUA6NLw09EwE0CqkOc4q9oUmW1yo/edit?usp=sharing"",""พะเยา!J317"")"),0)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IFERROR(__xludf.DUMMYFUNCTION("IMPORTRANGE(""https://docs.google.com/spreadsheets/d/11923uPwbBZFjjGgGUA6NLw09EwE0CqkOc4q9oUmW1yo/edit?usp=sharing"",""พะเยา!I318"")"),50)</f>
        <v>50</v>
      </c>
      <c r="J423" s="402">
        <f ca="1">IFERROR(__xludf.DUMMYFUNCTION("IMPORTRANGE(""https://docs.google.com/spreadsheets/d/11923uPwbBZFjjGgGUA6NLw09EwE0CqkOc4q9oUmW1yo/edit?usp=sharing"",""พะเยา!J318"")"),0)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IFERROR(__xludf.DUMMYFUNCTION("IMPORTRANGE(""https://docs.google.com/spreadsheets/d/11923uPwbBZFjjGgGUA6NLw09EwE0CqkOc4q9oUmW1yo/edit?usp=sharing"",""พะเยา!I319"")"),50)</f>
        <v>50</v>
      </c>
      <c r="J424" s="402">
        <f ca="1">IFERROR(__xludf.DUMMYFUNCTION("IMPORTRANGE(""https://docs.google.com/spreadsheets/d/11923uPwbBZFjjGgGUA6NLw09EwE0CqkOc4q9oUmW1yo/edit?usp=sharing"",""พะเยา!J319"")"),0)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IFERROR(__xludf.DUMMYFUNCTION("IMPORTRANGE(""https://docs.google.com/spreadsheets/d/11923uPwbBZFjjGgGUA6NLw09EwE0CqkOc4q9oUmW1yo/edit?usp=sharing"",""พะเยา!I320"")"),50)</f>
        <v>50</v>
      </c>
      <c r="J425" s="402">
        <f ca="1">IFERROR(__xludf.DUMMYFUNCTION("IMPORTRANGE(""https://docs.google.com/spreadsheets/d/11923uPwbBZFjjGgGUA6NLw09EwE0CqkOc4q9oUmW1yo/edit?usp=sharing"",""พะเยา!J320"")"),0)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IFERROR(__xludf.DUMMYFUNCTION("IMPORTRANGE(""https://docs.google.com/spreadsheets/d/11923uPwbBZFjjGgGUA6NLw09EwE0CqkOc4q9oUmW1yo/edit?usp=sharing"",""พะเยา!I321"")"),17)</f>
        <v>17</v>
      </c>
      <c r="J426" s="400">
        <f ca="1">IFERROR(__xludf.DUMMYFUNCTION("IMPORTRANGE(""https://docs.google.com/spreadsheets/d/11923uPwbBZFjjGgGUA6NLw09EwE0CqkOc4q9oUmW1yo/edit?usp=sharing"",""พะเยา!J321"")"),0)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IFERROR(__xludf.DUMMYFUNCTION("IMPORTRANGE(""https://docs.google.com/spreadsheets/d/11923uPwbBZFjjGgGUA6NLw09EwE0CqkOc4q9oUmW1yo/edit?usp=sharing"",""พะเยา!I322"")"),51)</f>
        <v>51</v>
      </c>
      <c r="J427" s="401">
        <f ca="1">IFERROR(__xludf.DUMMYFUNCTION("IMPORTRANGE(""https://docs.google.com/spreadsheets/d/11923uPwbBZFjjGgGUA6NLw09EwE0CqkOc4q9oUmW1yo/edit?usp=sharing"",""พะเยา!J322"")"),0)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IFERROR(__xludf.DUMMYFUNCTION("IMPORTRANGE(""https://docs.google.com/spreadsheets/d/11923uPwbBZFjjGgGUA6NLw09EwE0CqkOc4q9oUmW1yo/edit?usp=sharing"",""พะเยา!I323"")"),17)</f>
        <v>17</v>
      </c>
      <c r="J428" s="402">
        <f ca="1">IFERROR(__xludf.DUMMYFUNCTION("IMPORTRANGE(""https://docs.google.com/spreadsheets/d/11923uPwbBZFjjGgGUA6NLw09EwE0CqkOc4q9oUmW1yo/edit?usp=sharing"",""พะเยา!J323"")"),0)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IFERROR(__xludf.DUMMYFUNCTION("IMPORTRANGE(""https://docs.google.com/spreadsheets/d/11923uPwbBZFjjGgGUA6NLw09EwE0CqkOc4q9oUmW1yo/edit?usp=sharing"",""พะเยา!I324"")"),17)</f>
        <v>17</v>
      </c>
      <c r="J429" s="402">
        <f ca="1">IFERROR(__xludf.DUMMYFUNCTION("IMPORTRANGE(""https://docs.google.com/spreadsheets/d/11923uPwbBZFjjGgGUA6NLw09EwE0CqkOc4q9oUmW1yo/edit?usp=sharing"",""พะเยา!J324"")"),0)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IFERROR(__xludf.DUMMYFUNCTION("IMPORTRANGE(""https://docs.google.com/spreadsheets/d/11923uPwbBZFjjGgGUA6NLw09EwE0CqkOc4q9oUmW1yo/edit?usp=sharing"",""พะเยา!I325"")"),70)</f>
        <v>70</v>
      </c>
      <c r="J430" s="400">
        <f ca="1">IFERROR(__xludf.DUMMYFUNCTION("IMPORTRANGE(""https://docs.google.com/spreadsheets/d/11923uPwbBZFjjGgGUA6NLw09EwE0CqkOc4q9oUmW1yo/edit?usp=sharing"",""พะเยา!J325"")"),0)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IFERROR(__xludf.DUMMYFUNCTION("IMPORTRANGE(""https://docs.google.com/spreadsheets/d/11923uPwbBZFjjGgGUA6NLw09EwE0CqkOc4q9oUmW1yo/edit?usp=sharing"",""พะเยา!I326"")"),20)</f>
        <v>20</v>
      </c>
      <c r="J431" s="402">
        <f ca="1">IFERROR(__xludf.DUMMYFUNCTION("IMPORTRANGE(""https://docs.google.com/spreadsheets/d/11923uPwbBZFjjGgGUA6NLw09EwE0CqkOc4q9oUmW1yo/edit?usp=sharing"",""พะเยา!J326"")"),0)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IFERROR(__xludf.DUMMYFUNCTION("IMPORTRANGE(""https://docs.google.com/spreadsheets/d/11923uPwbBZFjjGgGUA6NLw09EwE0CqkOc4q9oUmW1yo/edit?usp=sharing"",""พะเยา!I327"")"),50)</f>
        <v>50</v>
      </c>
      <c r="J432" s="402">
        <f ca="1">IFERROR(__xludf.DUMMYFUNCTION("IMPORTRANGE(""https://docs.google.com/spreadsheets/d/11923uPwbBZFjjGgGUA6NLw09EwE0CqkOc4q9oUmW1yo/edit?usp=sharing"",""พะเยา!J327"")"),0)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IFERROR(__xludf.DUMMYFUNCTION("IMPORTRANGE(""https://docs.google.com/spreadsheets/d/11923uPwbBZFjjGgGUA6NLw09EwE0CqkOc4q9oUmW1yo/edit?usp=sharing"",""พะเยา!J328"")"),0)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IFERROR(__xludf.DUMMYFUNCTION("IMPORTRANGE(""https://docs.google.com/spreadsheets/d/11923uPwbBZFjjGgGUA6NLw09EwE0CqkOc4q9oUmW1yo/edit?usp=sharing"",""พะเยา!J329"")"),0)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IFERROR(__xludf.DUMMYFUNCTION("IMPORTRANGE(""https://docs.google.com/spreadsheets/d/11923uPwbBZFjjGgGUA6NLw09EwE0CqkOc4q9oUmW1yo/edit?usp=sharing"",""พะเยา!I330"")"),43)</f>
        <v>43</v>
      </c>
      <c r="J435" s="418">
        <f ca="1">IFERROR(__xludf.DUMMYFUNCTION("IMPORTRANGE(""https://docs.google.com/spreadsheets/d/11923uPwbBZFjjGgGUA6NLw09EwE0CqkOc4q9oUmW1yo/edit?usp=sharing"",""พะเยา!J330"")"),43)</f>
        <v>43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IFERROR(__xludf.DUMMYFUNCTION("IMPORTRANGE(""https://docs.google.com/spreadsheets/d/11923uPwbBZFjjGgGUA6NLw09EwE0CqkOc4q9oUmW1yo/edit?usp=sharing"",""พะเยา!L330"")"),145000)</f>
        <v>145000</v>
      </c>
      <c r="M435" s="420"/>
      <c r="N435" s="420">
        <f ca="1">IFERROR(__xludf.DUMMYFUNCTION("IMPORTRANGE(""https://docs.google.com/spreadsheets/d/11923uPwbBZFjjGgGUA6NLw09EwE0CqkOc4q9oUmW1yo/edit?usp=sharing"",""พะเยา!M330"")"),58918)</f>
        <v>58918</v>
      </c>
      <c r="O435" s="420">
        <f t="shared" ref="O435:O439" ca="1" si="114">+IF(L435&gt;0,N435*100/L435,0)</f>
        <v>40.633103448275861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IFERROR(__xludf.DUMMYFUNCTION("IMPORTRANGE(""https://docs.google.com/spreadsheets/d/11923uPwbBZFjjGgGUA6NLw09EwE0CqkOc4q9oUmW1yo/edit?usp=sharing"",""พะเยา!L331"")"),0)</f>
        <v>0</v>
      </c>
      <c r="M436" s="172"/>
      <c r="N436" s="178">
        <f ca="1">IFERROR(__xludf.DUMMYFUNCTION("IMPORTRANGE(""https://docs.google.com/spreadsheets/d/11923uPwbBZFjjGgGUA6NLw09EwE0CqkOc4q9oUmW1yo/edit?usp=sharing"",""พะเยา!M331"")"),0)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IFERROR(__xludf.DUMMYFUNCTION("IMPORTRANGE(""https://docs.google.com/spreadsheets/d/11923uPwbBZFjjGgGUA6NLw09EwE0CqkOc4q9oUmW1yo/edit?usp=sharing"",""พะเยา!L332"")"),145000)</f>
        <v>145000</v>
      </c>
      <c r="M437" s="173"/>
      <c r="N437" s="178">
        <f ca="1">IFERROR(__xludf.DUMMYFUNCTION("IMPORTRANGE(""https://docs.google.com/spreadsheets/d/11923uPwbBZFjjGgGUA6NLw09EwE0CqkOc4q9oUmW1yo/edit?usp=sharing"",""พะเยา!M332"")"),58918)</f>
        <v>58918</v>
      </c>
      <c r="O437" s="178">
        <f t="shared" ca="1" si="114"/>
        <v>40.633103448275861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IFERROR(__xludf.DUMMYFUNCTION("IMPORTRANGE(""https://docs.google.com/spreadsheets/d/11923uPwbBZFjjGgGUA6NLw09EwE0CqkOc4q9oUmW1yo/edit?usp=sharing"",""พะเยา!L333"")"),0)</f>
        <v>0</v>
      </c>
      <c r="M438" s="178"/>
      <c r="N438" s="178">
        <f ca="1">IFERROR(__xludf.DUMMYFUNCTION("IMPORTRANGE(""https://docs.google.com/spreadsheets/d/11923uPwbBZFjjGgGUA6NLw09EwE0CqkOc4q9oUmW1yo/edit?usp=sharing"",""พะเยา!M333"")"),0)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IFERROR(__xludf.DUMMYFUNCTION("IMPORTRANGE(""https://docs.google.com/spreadsheets/d/11923uPwbBZFjjGgGUA6NLw09EwE0CqkOc4q9oUmW1yo/edit?usp=sharing"",""พะเยา!L334"")"),145000)</f>
        <v>145000</v>
      </c>
      <c r="M439" s="178"/>
      <c r="N439" s="178">
        <f ca="1">IFERROR(__xludf.DUMMYFUNCTION("IMPORTRANGE(""https://docs.google.com/spreadsheets/d/11923uPwbBZFjjGgGUA6NLw09EwE0CqkOc4q9oUmW1yo/edit?usp=sharing"",""พะเยา!M334"")"),58918)</f>
        <v>58918</v>
      </c>
      <c r="O439" s="178">
        <f t="shared" ca="1" si="114"/>
        <v>40.633103448275861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IFERROR(__xludf.DUMMYFUNCTION("IMPORTRANGE(""https://docs.google.com/spreadsheets/d/11923uPwbBZFjjGgGUA6NLw09EwE0CqkOc4q9oUmW1yo/edit?usp=sharing"",""พะเยา!M335"")"),55918)</f>
        <v>55918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IFERROR(__xludf.DUMMYFUNCTION("IMPORTRANGE(""https://docs.google.com/spreadsheets/d/11923uPwbBZFjjGgGUA6NLw09EwE0CqkOc4q9oUmW1yo/edit?usp=sharing"",""พะเยา!M336"")"),0)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IFERROR(__xludf.DUMMYFUNCTION("IMPORTRANGE(""https://docs.google.com/spreadsheets/d/11923uPwbBZFjjGgGUA6NLw09EwE0CqkOc4q9oUmW1yo/edit?usp=sharing"",""พะเยา!M337"")"),0)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IFERROR(__xludf.DUMMYFUNCTION("IMPORTRANGE(""https://docs.google.com/spreadsheets/d/11923uPwbBZFjjGgGUA6NLw09EwE0CqkOc4q9oUmW1yo/edit?usp=sharing"",""พะเยา!M338"")"),3000)</f>
        <v>3000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IFERROR(__xludf.DUMMYFUNCTION("IMPORTRANGE(""https://docs.google.com/spreadsheets/d/11923uPwbBZFjjGgGUA6NLw09EwE0CqkOc4q9oUmW1yo/edit?usp=sharing"",""พะเยา!J340"")"),0)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IFERROR(__xludf.DUMMYFUNCTION("IMPORTRANGE(""https://docs.google.com/spreadsheets/d/11923uPwbBZFjjGgGUA6NLw09EwE0CqkOc4q9oUmW1yo/edit?usp=sharing"",""พะเยา!J341"")"),1)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IFERROR(__xludf.DUMMYFUNCTION("IMPORTRANGE(""https://docs.google.com/spreadsheets/d/11923uPwbBZFjjGgGUA6NLw09EwE0CqkOc4q9oUmW1yo/edit?usp=sharing"",""พะเยา!J342"")"),1)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IFERROR(__xludf.DUMMYFUNCTION("IMPORTRANGE(""https://docs.google.com/spreadsheets/d/11923uPwbBZFjjGgGUA6NLw09EwE0CqkOc4q9oUmW1yo/edit?usp=sharing"",""พะเยา!J343"")"),1)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IFERROR(__xludf.DUMMYFUNCTION("IMPORTRANGE(""https://docs.google.com/spreadsheets/d/11923uPwbBZFjjGgGUA6NLw09EwE0CqkOc4q9oUmW1yo/edit?usp=sharing"",""พะเยา!I344"")"),43)</f>
        <v>43</v>
      </c>
      <c r="J449" s="210">
        <f ca="1">IFERROR(__xludf.DUMMYFUNCTION("IMPORTRANGE(""https://docs.google.com/spreadsheets/d/11923uPwbBZFjjGgGUA6NLw09EwE0CqkOc4q9oUmW1yo/edit?usp=sharing"",""พะเยา!J344"")"),43)</f>
        <v>43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IFERROR(__xludf.DUMMYFUNCTION("IMPORTRANGE(""https://docs.google.com/spreadsheets/d/11923uPwbBZFjjGgGUA6NLw09EwE0CqkOc4q9oUmW1yo/edit?usp=sharing"",""พะเยา!I345"")"),43)</f>
        <v>43</v>
      </c>
      <c r="J450" s="198">
        <f ca="1">IFERROR(__xludf.DUMMYFUNCTION("IMPORTRANGE(""https://docs.google.com/spreadsheets/d/11923uPwbBZFjjGgGUA6NLw09EwE0CqkOc4q9oUmW1yo/edit?usp=sharing"",""พะเยา!J345"")"),43)</f>
        <v>43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IFERROR(__xludf.DUMMYFUNCTION("IMPORTRANGE(""https://docs.google.com/spreadsheets/d/11923uPwbBZFjjGgGUA6NLw09EwE0CqkOc4q9oUmW1yo/edit?usp=sharing"",""พะเยา!I346"")"),0)</f>
        <v>0</v>
      </c>
      <c r="J451" s="197">
        <f ca="1">IFERROR(__xludf.DUMMYFUNCTION("IMPORTRANGE(""https://docs.google.com/spreadsheets/d/11923uPwbBZFjjGgGUA6NLw09EwE0CqkOc4q9oUmW1yo/edit?usp=sharing"",""พะเยา!J346"")"),0)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IFERROR(__xludf.DUMMYFUNCTION("IMPORTRANGE(""https://docs.google.com/spreadsheets/d/11923uPwbBZFjjGgGUA6NLw09EwE0CqkOc4q9oUmW1yo/edit?usp=sharing"",""พะเยา!I347"")"),0)</f>
        <v>0</v>
      </c>
      <c r="J452" s="197">
        <f ca="1">IFERROR(__xludf.DUMMYFUNCTION("IMPORTRANGE(""https://docs.google.com/spreadsheets/d/11923uPwbBZFjjGgGUA6NLw09EwE0CqkOc4q9oUmW1yo/edit?usp=sharing"",""พะเยา!J347"")"),0)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IFERROR(__xludf.DUMMYFUNCTION("IMPORTRANGE(""https://docs.google.com/spreadsheets/d/11923uPwbBZFjjGgGUA6NLw09EwE0CqkOc4q9oUmW1yo/edit?usp=sharing"",""พะเยา!J348"")"),0)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IFERROR(__xludf.DUMMYFUNCTION("IMPORTRANGE(""https://docs.google.com/spreadsheets/d/11923uPwbBZFjjGgGUA6NLw09EwE0CqkOc4q9oUmW1yo/edit?usp=sharing"",""พะเยา!J349"")"),0)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IFERROR(__xludf.DUMMYFUNCTION("IMPORTRANGE(""https://docs.google.com/spreadsheets/d/11923uPwbBZFjjGgGUA6NLw09EwE0CqkOc4q9oUmW1yo/edit?usp=sharing"",""พะเยา!I350"")"),28514)</f>
        <v>28514</v>
      </c>
      <c r="J455" s="379">
        <f ca="1">IFERROR(__xludf.DUMMYFUNCTION("IMPORTRANGE(""https://docs.google.com/spreadsheets/d/11923uPwbBZFjjGgGUA6NLw09EwE0CqkOc4q9oUmW1yo/edit?usp=sharing"",""พะเยา!J350"")"),0)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IFERROR(__xludf.DUMMYFUNCTION("IMPORTRANGE(""https://docs.google.com/spreadsheets/d/11923uPwbBZFjjGgGUA6NLw09EwE0CqkOc4q9oUmW1yo/edit?usp=sharing"",""พะเยา!L350"")"),396346)</f>
        <v>396346</v>
      </c>
      <c r="M455" s="381"/>
      <c r="N455" s="381">
        <f ca="1">IFERROR(__xludf.DUMMYFUNCTION("IMPORTRANGE(""https://docs.google.com/spreadsheets/d/11923uPwbBZFjjGgGUA6NLw09EwE0CqkOc4q9oUmW1yo/edit?usp=sharing"",""พะเยา!M350"")"),66447.35)</f>
        <v>66447.350000000006</v>
      </c>
      <c r="O455" s="381">
        <f t="shared" ref="O455:O459" ca="1" si="116">+IF(L455&gt;0,N455*100/L455,0)</f>
        <v>16.764985643856633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IFERROR(__xludf.DUMMYFUNCTION("IMPORTRANGE(""https://docs.google.com/spreadsheets/d/11923uPwbBZFjjGgGUA6NLw09EwE0CqkOc4q9oUmW1yo/edit?usp=sharing"",""พะเยา!L351"")"),0)</f>
        <v>0</v>
      </c>
      <c r="M456" s="172"/>
      <c r="N456" s="178">
        <f ca="1">IFERROR(__xludf.DUMMYFUNCTION("IMPORTRANGE(""https://docs.google.com/spreadsheets/d/11923uPwbBZFjjGgGUA6NLw09EwE0CqkOc4q9oUmW1yo/edit?usp=sharing"",""พะเยา!M351"")"),0)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IFERROR(__xludf.DUMMYFUNCTION("IMPORTRANGE(""https://docs.google.com/spreadsheets/d/11923uPwbBZFjjGgGUA6NLw09EwE0CqkOc4q9oUmW1yo/edit?usp=sharing"",""พะเยา!L352"")"),396346)</f>
        <v>396346</v>
      </c>
      <c r="M457" s="173"/>
      <c r="N457" s="178">
        <f ca="1">IFERROR(__xludf.DUMMYFUNCTION("IMPORTRANGE(""https://docs.google.com/spreadsheets/d/11923uPwbBZFjjGgGUA6NLw09EwE0CqkOc4q9oUmW1yo/edit?usp=sharing"",""พะเยา!M352"")"),66447.35)</f>
        <v>66447.350000000006</v>
      </c>
      <c r="O457" s="178">
        <f t="shared" ca="1" si="116"/>
        <v>16.764985643856633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IFERROR(__xludf.DUMMYFUNCTION("IMPORTRANGE(""https://docs.google.com/spreadsheets/d/11923uPwbBZFjjGgGUA6NLw09EwE0CqkOc4q9oUmW1yo/edit?usp=sharing"",""พะเยา!L353"")"),0)</f>
        <v>0</v>
      </c>
      <c r="M458" s="178"/>
      <c r="N458" s="178">
        <f ca="1">IFERROR(__xludf.DUMMYFUNCTION("IMPORTRANGE(""https://docs.google.com/spreadsheets/d/11923uPwbBZFjjGgGUA6NLw09EwE0CqkOc4q9oUmW1yo/edit?usp=sharing"",""พะเยา!M353"")"),0)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IFERROR(__xludf.DUMMYFUNCTION("IMPORTRANGE(""https://docs.google.com/spreadsheets/d/11923uPwbBZFjjGgGUA6NLw09EwE0CqkOc4q9oUmW1yo/edit?usp=sharing"",""พะเยา!L354"")"),396346)</f>
        <v>396346</v>
      </c>
      <c r="M459" s="178"/>
      <c r="N459" s="178">
        <f ca="1">IFERROR(__xludf.DUMMYFUNCTION("IMPORTRANGE(""https://docs.google.com/spreadsheets/d/11923uPwbBZFjjGgGUA6NLw09EwE0CqkOc4q9oUmW1yo/edit?usp=sharing"",""พะเยา!M354"")"),66447.35)</f>
        <v>66447.350000000006</v>
      </c>
      <c r="O459" s="178">
        <f t="shared" ca="1" si="116"/>
        <v>16.764985643856633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IFERROR(__xludf.DUMMYFUNCTION("IMPORTRANGE(""https://docs.google.com/spreadsheets/d/11923uPwbBZFjjGgGUA6NLw09EwE0CqkOc4q9oUmW1yo/edit?usp=sharing"",""พะเยา!M355"")"),0)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IFERROR(__xludf.DUMMYFUNCTION("IMPORTRANGE(""https://docs.google.com/spreadsheets/d/11923uPwbBZFjjGgGUA6NLw09EwE0CqkOc4q9oUmW1yo/edit?usp=sharing"",""พะเยา!M356"")"),0)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IFERROR(__xludf.DUMMYFUNCTION("IMPORTRANGE(""https://docs.google.com/spreadsheets/d/11923uPwbBZFjjGgGUA6NLw09EwE0CqkOc4q9oUmW1yo/edit?usp=sharing"",""พะเยา!M357"")"),29419.35)</f>
        <v>29419.35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IFERROR(__xludf.DUMMYFUNCTION("IMPORTRANGE(""https://docs.google.com/spreadsheets/d/11923uPwbBZFjjGgGUA6NLw09EwE0CqkOc4q9oUmW1yo/edit?usp=sharing"",""พะเยา!M358"")"),37028)</f>
        <v>37028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IFERROR(__xludf.DUMMYFUNCTION("IMPORTRANGE(""https://docs.google.com/spreadsheets/d/11923uPwbBZFjjGgGUA6NLw09EwE0CqkOc4q9oUmW1yo/edit?usp=sharing"",""พะเยา!I359"")"),28514)</f>
        <v>28514</v>
      </c>
      <c r="J464" s="276">
        <f ca="1">IFERROR(__xludf.DUMMYFUNCTION("IMPORTRANGE(""https://docs.google.com/spreadsheets/d/11923uPwbBZFjjGgGUA6NLw09EwE0CqkOc4q9oUmW1yo/edit?usp=sharing"",""พะเยา!J359"")"),0)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IFERROR(__xludf.DUMMYFUNCTION("IMPORTRANGE(""https://docs.google.com/spreadsheets/d/11923uPwbBZFjjGgGUA6NLw09EwE0CqkOc4q9oUmW1yo/edit?usp=sharing"",""พะเยา!I360"")"),28514)</f>
        <v>28514</v>
      </c>
      <c r="J465" s="428">
        <f ca="1">IFERROR(__xludf.DUMMYFUNCTION("IMPORTRANGE(""https://docs.google.com/spreadsheets/d/11923uPwbBZFjjGgGUA6NLw09EwE0CqkOc4q9oUmW1yo/edit?usp=sharing"",""พะเยา!J360"")"),0)</f>
        <v>0</v>
      </c>
      <c r="K465" s="211">
        <f t="shared" ca="1" si="117"/>
        <v>0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IFERROR(__xludf.DUMMYFUNCTION("IMPORTRANGE(""https://docs.google.com/spreadsheets/d/11923uPwbBZFjjGgGUA6NLw09EwE0CqkOc4q9oUmW1yo/edit?usp=sharing"",""พะเยา!I361"")"),5512)</f>
        <v>5512</v>
      </c>
      <c r="J466" s="428">
        <f ca="1">IFERROR(__xludf.DUMMYFUNCTION("IMPORTRANGE(""https://docs.google.com/spreadsheets/d/11923uPwbBZFjjGgGUA6NLw09EwE0CqkOc4q9oUmW1yo/edit?usp=sharing"",""พะเยา!J361"")"),0)</f>
        <v>0</v>
      </c>
      <c r="K466" s="211">
        <f t="shared" ca="1" si="117"/>
        <v>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IFERROR(__xludf.DUMMYFUNCTION("IMPORTRANGE(""https://docs.google.com/spreadsheets/d/11923uPwbBZFjjGgGUA6NLw09EwE0CqkOc4q9oUmW1yo/edit?usp=sharing"",""พะเยา!I362"")"),0)</f>
        <v>0</v>
      </c>
      <c r="J467" s="198">
        <f ca="1">IFERROR(__xludf.DUMMYFUNCTION("IMPORTRANGE(""https://docs.google.com/spreadsheets/d/11923uPwbBZFjjGgGUA6NLw09EwE0CqkOc4q9oUmW1yo/edit?usp=sharing"",""พะเยา!J362"")"),0)</f>
        <v>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IFERROR(__xludf.DUMMYFUNCTION("IMPORTRANGE(""https://docs.google.com/spreadsheets/d/11923uPwbBZFjjGgGUA6NLw09EwE0CqkOc4q9oUmW1yo/edit?usp=sharing"",""พะเยา!I363"")"),0)</f>
        <v>0</v>
      </c>
      <c r="J468" s="198">
        <f ca="1">IFERROR(__xludf.DUMMYFUNCTION("IMPORTRANGE(""https://docs.google.com/spreadsheets/d/11923uPwbBZFjjGgGUA6NLw09EwE0CqkOc4q9oUmW1yo/edit?usp=sharing"",""พะเยา!J363"")"),0)</f>
        <v>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IFERROR(__xludf.DUMMYFUNCTION("IMPORTRANGE(""https://docs.google.com/spreadsheets/d/11923uPwbBZFjjGgGUA6NLw09EwE0CqkOc4q9oUmW1yo/edit?usp=sharing"",""พะเยา!I364"")"),0)</f>
        <v>0</v>
      </c>
      <c r="J469" s="198">
        <f ca="1">IFERROR(__xludf.DUMMYFUNCTION("IMPORTRANGE(""https://docs.google.com/spreadsheets/d/11923uPwbBZFjjGgGUA6NLw09EwE0CqkOc4q9oUmW1yo/edit?usp=sharing"",""พะเยา!J364"")"),0)</f>
        <v>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IFERROR(__xludf.DUMMYFUNCTION("IMPORTRANGE(""https://docs.google.com/spreadsheets/d/11923uPwbBZFjjGgGUA6NLw09EwE0CqkOc4q9oUmW1yo/edit?usp=sharing"",""พะเยา!I365"")"),0)</f>
        <v>0</v>
      </c>
      <c r="J470" s="198">
        <f ca="1">IFERROR(__xludf.DUMMYFUNCTION("IMPORTRANGE(""https://docs.google.com/spreadsheets/d/11923uPwbBZFjjGgGUA6NLw09EwE0CqkOc4q9oUmW1yo/edit?usp=sharing"",""พะเยา!J365"")"),0)</f>
        <v>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IFERROR(__xludf.DUMMYFUNCTION("IMPORTRANGE(""https://docs.google.com/spreadsheets/d/11923uPwbBZFjjGgGUA6NLw09EwE0CqkOc4q9oUmW1yo/edit?usp=sharing"",""พะเยา!I366"")"),0)</f>
        <v>0</v>
      </c>
      <c r="J471" s="198">
        <f ca="1">IFERROR(__xludf.DUMMYFUNCTION("IMPORTRANGE(""https://docs.google.com/spreadsheets/d/11923uPwbBZFjjGgGUA6NLw09EwE0CqkOc4q9oUmW1yo/edit?usp=sharing"",""พะเยา!J366"")"),0)</f>
        <v>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IFERROR(__xludf.DUMMYFUNCTION("IMPORTRANGE(""https://docs.google.com/spreadsheets/d/11923uPwbBZFjjGgGUA6NLw09EwE0CqkOc4q9oUmW1yo/edit?usp=sharing"",""พะเยา!I367"")"),0)</f>
        <v>0</v>
      </c>
      <c r="J472" s="198">
        <f ca="1">IFERROR(__xludf.DUMMYFUNCTION("IMPORTRANGE(""https://docs.google.com/spreadsheets/d/11923uPwbBZFjjGgGUA6NLw09EwE0CqkOc4q9oUmW1yo/edit?usp=sharing"",""พะเยา!J367"")"),0)</f>
        <v>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IFERROR(__xludf.DUMMYFUNCTION("IMPORTRANGE(""https://docs.google.com/spreadsheets/d/11923uPwbBZFjjGgGUA6NLw09EwE0CqkOc4q9oUmW1yo/edit?usp=sharing"",""พะเยา!I368"")"),28514)</f>
        <v>28514</v>
      </c>
      <c r="J473" s="428">
        <f ca="1">IFERROR(__xludf.DUMMYFUNCTION("IMPORTRANGE(""https://docs.google.com/spreadsheets/d/11923uPwbBZFjjGgGUA6NLw09EwE0CqkOc4q9oUmW1yo/edit?usp=sharing"",""พะเยา!J368"")"),0)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IFERROR(__xludf.DUMMYFUNCTION("IMPORTRANGE(""https://docs.google.com/spreadsheets/d/11923uPwbBZFjjGgGUA6NLw09EwE0CqkOc4q9oUmW1yo/edit?usp=sharing"",""พะเยา!I369"")"),5512)</f>
        <v>5512</v>
      </c>
      <c r="J474" s="428">
        <f ca="1">IFERROR(__xludf.DUMMYFUNCTION("IMPORTRANGE(""https://docs.google.com/spreadsheets/d/11923uPwbBZFjjGgGUA6NLw09EwE0CqkOc4q9oUmW1yo/edit?usp=sharing"",""พะเยา!J369"")"),0)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IFERROR(__xludf.DUMMYFUNCTION("IMPORTRANGE(""https://docs.google.com/spreadsheets/d/11923uPwbBZFjjGgGUA6NLw09EwE0CqkOc4q9oUmW1yo/edit?usp=sharing"",""พะเยา!I370"")"),0)</f>
        <v>0</v>
      </c>
      <c r="J475" s="198">
        <f ca="1">IFERROR(__xludf.DUMMYFUNCTION("IMPORTRANGE(""https://docs.google.com/spreadsheets/d/11923uPwbBZFjjGgGUA6NLw09EwE0CqkOc4q9oUmW1yo/edit?usp=sharing"",""พะเยา!J370"")"),0)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IFERROR(__xludf.DUMMYFUNCTION("IMPORTRANGE(""https://docs.google.com/spreadsheets/d/11923uPwbBZFjjGgGUA6NLw09EwE0CqkOc4q9oUmW1yo/edit?usp=sharing"",""พะเยา!I371"")"),0)</f>
        <v>0</v>
      </c>
      <c r="J476" s="198">
        <f ca="1">IFERROR(__xludf.DUMMYFUNCTION("IMPORTRANGE(""https://docs.google.com/spreadsheets/d/11923uPwbBZFjjGgGUA6NLw09EwE0CqkOc4q9oUmW1yo/edit?usp=sharing"",""พะเยา!J371"")"),0)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IFERROR(__xludf.DUMMYFUNCTION("IMPORTRANGE(""https://docs.google.com/spreadsheets/d/11923uPwbBZFjjGgGUA6NLw09EwE0CqkOc4q9oUmW1yo/edit?usp=sharing"",""พะเยา!I372"")"),0)</f>
        <v>0</v>
      </c>
      <c r="J477" s="198">
        <f ca="1">IFERROR(__xludf.DUMMYFUNCTION("IMPORTRANGE(""https://docs.google.com/spreadsheets/d/11923uPwbBZFjjGgGUA6NLw09EwE0CqkOc4q9oUmW1yo/edit?usp=sharing"",""พะเยา!J372"")"),0)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IFERROR(__xludf.DUMMYFUNCTION("IMPORTRANGE(""https://docs.google.com/spreadsheets/d/11923uPwbBZFjjGgGUA6NLw09EwE0CqkOc4q9oUmW1yo/edit?usp=sharing"",""พะเยา!I373"")"),0)</f>
        <v>0</v>
      </c>
      <c r="J478" s="198">
        <f ca="1">IFERROR(__xludf.DUMMYFUNCTION("IMPORTRANGE(""https://docs.google.com/spreadsheets/d/11923uPwbBZFjjGgGUA6NLw09EwE0CqkOc4q9oUmW1yo/edit?usp=sharing"",""พะเยา!J373"")"),0)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IFERROR(__xludf.DUMMYFUNCTION("IMPORTRANGE(""https://docs.google.com/spreadsheets/d/11923uPwbBZFjjGgGUA6NLw09EwE0CqkOc4q9oUmW1yo/edit?usp=sharing"",""พะเยา!I374"")"),0)</f>
        <v>0</v>
      </c>
      <c r="J479" s="198">
        <f ca="1">IFERROR(__xludf.DUMMYFUNCTION("IMPORTRANGE(""https://docs.google.com/spreadsheets/d/11923uPwbBZFjjGgGUA6NLw09EwE0CqkOc4q9oUmW1yo/edit?usp=sharing"",""พะเยา!J374"")"),0)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IFERROR(__xludf.DUMMYFUNCTION("IMPORTRANGE(""https://docs.google.com/spreadsheets/d/11923uPwbBZFjjGgGUA6NLw09EwE0CqkOc4q9oUmW1yo/edit?usp=sharing"",""พะเยา!I375"")"),0)</f>
        <v>0</v>
      </c>
      <c r="J480" s="198">
        <f ca="1">IFERROR(__xludf.DUMMYFUNCTION("IMPORTRANGE(""https://docs.google.com/spreadsheets/d/11923uPwbBZFjjGgGUA6NLw09EwE0CqkOc4q9oUmW1yo/edit?usp=sharing"",""พะเยา!J375"")"),0)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IFERROR(__xludf.DUMMYFUNCTION("IMPORTRANGE(""https://docs.google.com/spreadsheets/d/11923uPwbBZFjjGgGUA6NLw09EwE0CqkOc4q9oUmW1yo/edit?usp=sharing"",""พะเยา!I376"")"),28514)</f>
        <v>28514</v>
      </c>
      <c r="J481" s="428">
        <f ca="1">IFERROR(__xludf.DUMMYFUNCTION("IMPORTRANGE(""https://docs.google.com/spreadsheets/d/11923uPwbBZFjjGgGUA6NLw09EwE0CqkOc4q9oUmW1yo/edit?usp=sharing"",""พะเยา!J376"")"),0)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IFERROR(__xludf.DUMMYFUNCTION("IMPORTRANGE(""https://docs.google.com/spreadsheets/d/11923uPwbBZFjjGgGUA6NLw09EwE0CqkOc4q9oUmW1yo/edit?usp=sharing"",""พะเยา!I377"")"),5512)</f>
        <v>5512</v>
      </c>
      <c r="J482" s="428">
        <f ca="1">IFERROR(__xludf.DUMMYFUNCTION("IMPORTRANGE(""https://docs.google.com/spreadsheets/d/11923uPwbBZFjjGgGUA6NLw09EwE0CqkOc4q9oUmW1yo/edit?usp=sharing"",""พะเยา!J377"")"),0)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IFERROR(__xludf.DUMMYFUNCTION("IMPORTRANGE(""https://docs.google.com/spreadsheets/d/11923uPwbBZFjjGgGUA6NLw09EwE0CqkOc4q9oUmW1yo/edit?usp=sharing"",""พะเยา!I378"")"),0)</f>
        <v>0</v>
      </c>
      <c r="J483" s="198">
        <f ca="1">IFERROR(__xludf.DUMMYFUNCTION("IMPORTRANGE(""https://docs.google.com/spreadsheets/d/11923uPwbBZFjjGgGUA6NLw09EwE0CqkOc4q9oUmW1yo/edit?usp=sharing"",""พะเยา!J378"")"),0)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IFERROR(__xludf.DUMMYFUNCTION("IMPORTRANGE(""https://docs.google.com/spreadsheets/d/11923uPwbBZFjjGgGUA6NLw09EwE0CqkOc4q9oUmW1yo/edit?usp=sharing"",""พะเยา!I379"")"),0)</f>
        <v>0</v>
      </c>
      <c r="J484" s="198">
        <f ca="1">IFERROR(__xludf.DUMMYFUNCTION("IMPORTRANGE(""https://docs.google.com/spreadsheets/d/11923uPwbBZFjjGgGUA6NLw09EwE0CqkOc4q9oUmW1yo/edit?usp=sharing"",""พะเยา!J379"")"),0)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IFERROR(__xludf.DUMMYFUNCTION("IMPORTRANGE(""https://docs.google.com/spreadsheets/d/11923uPwbBZFjjGgGUA6NLw09EwE0CqkOc4q9oUmW1yo/edit?usp=sharing"",""พะเยา!I380"")"),0)</f>
        <v>0</v>
      </c>
      <c r="J485" s="198">
        <f ca="1">IFERROR(__xludf.DUMMYFUNCTION("IMPORTRANGE(""https://docs.google.com/spreadsheets/d/11923uPwbBZFjjGgGUA6NLw09EwE0CqkOc4q9oUmW1yo/edit?usp=sharing"",""พะเยา!J380"")"),0)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IFERROR(__xludf.DUMMYFUNCTION("IMPORTRANGE(""https://docs.google.com/spreadsheets/d/11923uPwbBZFjjGgGUA6NLw09EwE0CqkOc4q9oUmW1yo/edit?usp=sharing"",""พะเยา!I381"")"),0)</f>
        <v>0</v>
      </c>
      <c r="J486" s="198">
        <f ca="1">IFERROR(__xludf.DUMMYFUNCTION("IMPORTRANGE(""https://docs.google.com/spreadsheets/d/11923uPwbBZFjjGgGUA6NLw09EwE0CqkOc4q9oUmW1yo/edit?usp=sharing"",""พะเยา!J381"")"),0)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IFERROR(__xludf.DUMMYFUNCTION("IMPORTRANGE(""https://docs.google.com/spreadsheets/d/11923uPwbBZFjjGgGUA6NLw09EwE0CqkOc4q9oUmW1yo/edit?usp=sharing"",""พะเยา!I382"")"),0)</f>
        <v>0</v>
      </c>
      <c r="J487" s="428">
        <f ca="1">IFERROR(__xludf.DUMMYFUNCTION("IMPORTRANGE(""https://docs.google.com/spreadsheets/d/11923uPwbBZFjjGgGUA6NLw09EwE0CqkOc4q9oUmW1yo/edit?usp=sharing"",""พะเยา!J382"")"),0)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IFERROR(__xludf.DUMMYFUNCTION("IMPORTRANGE(""https://docs.google.com/spreadsheets/d/11923uPwbBZFjjGgGUA6NLw09EwE0CqkOc4q9oUmW1yo/edit?usp=sharing"",""พะเยา!I383"")"),0)</f>
        <v>0</v>
      </c>
      <c r="J488" s="428">
        <f ca="1">IFERROR(__xludf.DUMMYFUNCTION("IMPORTRANGE(""https://docs.google.com/spreadsheets/d/11923uPwbBZFjjGgGUA6NLw09EwE0CqkOc4q9oUmW1yo/edit?usp=sharing"",""พะเยา!J383"")"),0)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IFERROR(__xludf.DUMMYFUNCTION("IMPORTRANGE(""https://docs.google.com/spreadsheets/d/11923uPwbBZFjjGgGUA6NLw09EwE0CqkOc4q9oUmW1yo/edit?usp=sharing"",""พะเยา!I384"")"),0)</f>
        <v>0</v>
      </c>
      <c r="J489" s="198">
        <f ca="1">IFERROR(__xludf.DUMMYFUNCTION("IMPORTRANGE(""https://docs.google.com/spreadsheets/d/11923uPwbBZFjjGgGUA6NLw09EwE0CqkOc4q9oUmW1yo/edit?usp=sharing"",""พะเยา!J384"")"),0)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IFERROR(__xludf.DUMMYFUNCTION("IMPORTRANGE(""https://docs.google.com/spreadsheets/d/11923uPwbBZFjjGgGUA6NLw09EwE0CqkOc4q9oUmW1yo/edit?usp=sharing"",""พะเยา!I385"")"),0)</f>
        <v>0</v>
      </c>
      <c r="J490" s="198">
        <f ca="1">IFERROR(__xludf.DUMMYFUNCTION("IMPORTRANGE(""https://docs.google.com/spreadsheets/d/11923uPwbBZFjjGgGUA6NLw09EwE0CqkOc4q9oUmW1yo/edit?usp=sharing"",""พะเยา!J385"")"),0)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IFERROR(__xludf.DUMMYFUNCTION("IMPORTRANGE(""https://docs.google.com/spreadsheets/d/11923uPwbBZFjjGgGUA6NLw09EwE0CqkOc4q9oUmW1yo/edit?usp=sharing"",""พะเยา!I386"")"),0)</f>
        <v>0</v>
      </c>
      <c r="J491" s="198">
        <f ca="1">IFERROR(__xludf.DUMMYFUNCTION("IMPORTRANGE(""https://docs.google.com/spreadsheets/d/11923uPwbBZFjjGgGUA6NLw09EwE0CqkOc4q9oUmW1yo/edit?usp=sharing"",""พะเยา!J386"")"),0)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IFERROR(__xludf.DUMMYFUNCTION("IMPORTRANGE(""https://docs.google.com/spreadsheets/d/11923uPwbBZFjjGgGUA6NLw09EwE0CqkOc4q9oUmW1yo/edit?usp=sharing"",""พะเยา!I387"")"),0)</f>
        <v>0</v>
      </c>
      <c r="J492" s="198">
        <f ca="1">IFERROR(__xludf.DUMMYFUNCTION("IMPORTRANGE(""https://docs.google.com/spreadsheets/d/11923uPwbBZFjjGgGUA6NLw09EwE0CqkOc4q9oUmW1yo/edit?usp=sharing"",""พะเยา!J387"")"),0)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IFERROR(__xludf.DUMMYFUNCTION("IMPORTRANGE(""https://docs.google.com/spreadsheets/d/11923uPwbBZFjjGgGUA6NLw09EwE0CqkOc4q9oUmW1yo/edit?usp=sharing"",""พะเยา!I388"")"),0)</f>
        <v>0</v>
      </c>
      <c r="J493" s="198">
        <f ca="1">IFERROR(__xludf.DUMMYFUNCTION("IMPORTRANGE(""https://docs.google.com/spreadsheets/d/11923uPwbBZFjjGgGUA6NLw09EwE0CqkOc4q9oUmW1yo/edit?usp=sharing"",""พะเยา!J388"")"),0)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IFERROR(__xludf.DUMMYFUNCTION("IMPORTRANGE(""https://docs.google.com/spreadsheets/d/11923uPwbBZFjjGgGUA6NLw09EwE0CqkOc4q9oUmW1yo/edit?usp=sharing"",""พะเยา!I389"")"),0)</f>
        <v>0</v>
      </c>
      <c r="J494" s="444">
        <f ca="1">IFERROR(__xludf.DUMMYFUNCTION("IMPORTRANGE(""https://docs.google.com/spreadsheets/d/11923uPwbBZFjjGgGUA6NLw09EwE0CqkOc4q9oUmW1yo/edit?usp=sharing"",""พะเยา!J389"")"),0)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IFERROR(__xludf.DUMMYFUNCTION("IMPORTRANGE(""https://docs.google.com/spreadsheets/d/11923uPwbBZFjjGgGUA6NLw09EwE0CqkOc4q9oUmW1yo/edit?usp=sharing"",""พะเยา!I390"")"),0)</f>
        <v>0</v>
      </c>
      <c r="J495" s="444">
        <f ca="1">IFERROR(__xludf.DUMMYFUNCTION("IMPORTRANGE(""https://docs.google.com/spreadsheets/d/11923uPwbBZFjjGgGUA6NLw09EwE0CqkOc4q9oUmW1yo/edit?usp=sharing"",""พะเยา!J390"")"),0)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IFERROR(__xludf.DUMMYFUNCTION("IMPORTRANGE(""https://docs.google.com/spreadsheets/d/11923uPwbBZFjjGgGUA6NLw09EwE0CqkOc4q9oUmW1yo/edit?usp=sharing"",""พะเยา!I391"")"),0)</f>
        <v>0</v>
      </c>
      <c r="J496" s="444">
        <f ca="1">IFERROR(__xludf.DUMMYFUNCTION("IMPORTRANGE(""https://docs.google.com/spreadsheets/d/11923uPwbBZFjjGgGUA6NLw09EwE0CqkOc4q9oUmW1yo/edit?usp=sharing"",""พะเยา!J391"")"),0)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IFERROR(__xludf.DUMMYFUNCTION("IMPORTRANGE(""https://docs.google.com/spreadsheets/d/11923uPwbBZFjjGgGUA6NLw09EwE0CqkOc4q9oUmW1yo/edit?usp=sharing"",""พะเยา!I392"")"),0)</f>
        <v>0</v>
      </c>
      <c r="J497" s="451">
        <f ca="1">IFERROR(__xludf.DUMMYFUNCTION("IMPORTRANGE(""https://docs.google.com/spreadsheets/d/11923uPwbBZFjjGgGUA6NLw09EwE0CqkOc4q9oUmW1yo/edit?usp=sharing"",""พะเยา!J392"")"),6)</f>
        <v>6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IFERROR(__xludf.DUMMYFUNCTION("IMPORTRANGE(""https://docs.google.com/spreadsheets/d/11923uPwbBZFjjGgGUA6NLw09EwE0CqkOc4q9oUmW1yo/edit?usp=sharing"",""พะเยา!I393"")"),0)</f>
        <v>0</v>
      </c>
      <c r="J498" s="428">
        <f ca="1">IFERROR(__xludf.DUMMYFUNCTION("IMPORTRANGE(""https://docs.google.com/spreadsheets/d/11923uPwbBZFjjGgGUA6NLw09EwE0CqkOc4q9oUmW1yo/edit?usp=sharing"",""พะเยา!J393"")"),6)</f>
        <v>6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IFERROR(__xludf.DUMMYFUNCTION("IMPORTRANGE(""https://docs.google.com/spreadsheets/d/11923uPwbBZFjjGgGUA6NLw09EwE0CqkOc4q9oUmW1yo/edit?usp=sharing"",""พะเยา!I394"")"),0)</f>
        <v>0</v>
      </c>
      <c r="J499" s="428">
        <f ca="1">IFERROR(__xludf.DUMMYFUNCTION("IMPORTRANGE(""https://docs.google.com/spreadsheets/d/11923uPwbBZFjjGgGUA6NLw09EwE0CqkOc4q9oUmW1yo/edit?usp=sharing"",""พะเยา!J394"")"),2)</f>
        <v>2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IFERROR(__xludf.DUMMYFUNCTION("IMPORTRANGE(""https://docs.google.com/spreadsheets/d/11923uPwbBZFjjGgGUA6NLw09EwE0CqkOc4q9oUmW1yo/edit?usp=sharing"",""พะเยา!I395"")"),0)</f>
        <v>0</v>
      </c>
      <c r="J500" s="170">
        <f ca="1">IFERROR(__xludf.DUMMYFUNCTION("IMPORTRANGE(""https://docs.google.com/spreadsheets/d/11923uPwbBZFjjGgGUA6NLw09EwE0CqkOc4q9oUmW1yo/edit?usp=sharing"",""พะเยา!J395"")"),0)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IFERROR(__xludf.DUMMYFUNCTION("IMPORTRANGE(""https://docs.google.com/spreadsheets/d/11923uPwbBZFjjGgGUA6NLw09EwE0CqkOc4q9oUmW1yo/edit?usp=sharing"",""พะเยา!I396"")"),0)</f>
        <v>0</v>
      </c>
      <c r="J501" s="170">
        <f ca="1">IFERROR(__xludf.DUMMYFUNCTION("IMPORTRANGE(""https://docs.google.com/spreadsheets/d/11923uPwbBZFjjGgGUA6NLw09EwE0CqkOc4q9oUmW1yo/edit?usp=sharing"",""พะเยา!J396"")"),0)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IFERROR(__xludf.DUMMYFUNCTION("IMPORTRANGE(""https://docs.google.com/spreadsheets/d/11923uPwbBZFjjGgGUA6NLw09EwE0CqkOc4q9oUmW1yo/edit?usp=sharing"",""พะเยา!I397"")"),0)</f>
        <v>0</v>
      </c>
      <c r="J502" s="198">
        <f ca="1">IFERROR(__xludf.DUMMYFUNCTION("IMPORTRANGE(""https://docs.google.com/spreadsheets/d/11923uPwbBZFjjGgGUA6NLw09EwE0CqkOc4q9oUmW1yo/edit?usp=sharing"",""พะเยา!J397"")"),0)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IFERROR(__xludf.DUMMYFUNCTION("IMPORTRANGE(""https://docs.google.com/spreadsheets/d/11923uPwbBZFjjGgGUA6NLw09EwE0CqkOc4q9oUmW1yo/edit?usp=sharing"",""พะเยา!I398"")"),0)</f>
        <v>0</v>
      </c>
      <c r="J503" s="207">
        <f ca="1">IFERROR(__xludf.DUMMYFUNCTION("IMPORTRANGE(""https://docs.google.com/spreadsheets/d/11923uPwbBZFjjGgGUA6NLw09EwE0CqkOc4q9oUmW1yo/edit?usp=sharing"",""พะเยา!J398"")"),0)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IFERROR(__xludf.DUMMYFUNCTION("IMPORTRANGE(""https://docs.google.com/spreadsheets/d/11923uPwbBZFjjGgGUA6NLw09EwE0CqkOc4q9oUmW1yo/edit?usp=sharing"",""พะเยา!I399"")"),0)</f>
        <v>0</v>
      </c>
      <c r="J504" s="198">
        <f ca="1">IFERROR(__xludf.DUMMYFUNCTION("IMPORTRANGE(""https://docs.google.com/spreadsheets/d/11923uPwbBZFjjGgGUA6NLw09EwE0CqkOc4q9oUmW1yo/edit?usp=sharing"",""พะเยา!J399"")"),0)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IFERROR(__xludf.DUMMYFUNCTION("IMPORTRANGE(""https://docs.google.com/spreadsheets/d/11923uPwbBZFjjGgGUA6NLw09EwE0CqkOc4q9oUmW1yo/edit?usp=sharing"",""พะเยา!I400"")"),0)</f>
        <v>0</v>
      </c>
      <c r="J505" s="207">
        <f ca="1">IFERROR(__xludf.DUMMYFUNCTION("IMPORTRANGE(""https://docs.google.com/spreadsheets/d/11923uPwbBZFjjGgGUA6NLw09EwE0CqkOc4q9oUmW1yo/edit?usp=sharing"",""พะเยา!J400"")"),0)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IFERROR(__xludf.DUMMYFUNCTION("IMPORTRANGE(""https://docs.google.com/spreadsheets/d/11923uPwbBZFjjGgGUA6NLw09EwE0CqkOc4q9oUmW1yo/edit?usp=sharing"",""พะเยา!I401"")"),0)</f>
        <v>0</v>
      </c>
      <c r="J506" s="198">
        <f ca="1">IFERROR(__xludf.DUMMYFUNCTION("IMPORTRANGE(""https://docs.google.com/spreadsheets/d/11923uPwbBZFjjGgGUA6NLw09EwE0CqkOc4q9oUmW1yo/edit?usp=sharing"",""พะเยา!J401"")"),0)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IFERROR(__xludf.DUMMYFUNCTION("IMPORTRANGE(""https://docs.google.com/spreadsheets/d/11923uPwbBZFjjGgGUA6NLw09EwE0CqkOc4q9oUmW1yo/edit?usp=sharing"",""พะเยา!I402"")"),0)</f>
        <v>0</v>
      </c>
      <c r="J507" s="207">
        <f ca="1">IFERROR(__xludf.DUMMYFUNCTION("IMPORTRANGE(""https://docs.google.com/spreadsheets/d/11923uPwbBZFjjGgGUA6NLw09EwE0CqkOc4q9oUmW1yo/edit?usp=sharing"",""พะเยา!J402"")"),0)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IFERROR(__xludf.DUMMYFUNCTION("IMPORTRANGE(""https://docs.google.com/spreadsheets/d/11923uPwbBZFjjGgGUA6NLw09EwE0CqkOc4q9oUmW1yo/edit?usp=sharing"",""พะเยา!I403"")"),0)</f>
        <v>0</v>
      </c>
      <c r="J508" s="170">
        <f ca="1">IFERROR(__xludf.DUMMYFUNCTION("IMPORTRANGE(""https://docs.google.com/spreadsheets/d/11923uPwbBZFjjGgGUA6NLw09EwE0CqkOc4q9oUmW1yo/edit?usp=sharing"",""พะเยา!J403"")"),6)</f>
        <v>6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IFERROR(__xludf.DUMMYFUNCTION("IMPORTRANGE(""https://docs.google.com/spreadsheets/d/11923uPwbBZFjjGgGUA6NLw09EwE0CqkOc4q9oUmW1yo/edit?usp=sharing"",""พะเยา!I404"")"),0)</f>
        <v>0</v>
      </c>
      <c r="J509" s="170">
        <f ca="1">IFERROR(__xludf.DUMMYFUNCTION("IMPORTRANGE(""https://docs.google.com/spreadsheets/d/11923uPwbBZFjjGgGUA6NLw09EwE0CqkOc4q9oUmW1yo/edit?usp=sharing"",""พะเยา!J404"")"),2)</f>
        <v>2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IFERROR(__xludf.DUMMYFUNCTION("IMPORTRANGE(""https://docs.google.com/spreadsheets/d/11923uPwbBZFjjGgGUA6NLw09EwE0CqkOc4q9oUmW1yo/edit?usp=sharing"",""พะเยา!I405"")"),0)</f>
        <v>0</v>
      </c>
      <c r="J510" s="207">
        <f ca="1">IFERROR(__xludf.DUMMYFUNCTION("IMPORTRANGE(""https://docs.google.com/spreadsheets/d/11923uPwbBZFjjGgGUA6NLw09EwE0CqkOc4q9oUmW1yo/edit?usp=sharing"",""พะเยา!J405"")"),6)</f>
        <v>6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IFERROR(__xludf.DUMMYFUNCTION("IMPORTRANGE(""https://docs.google.com/spreadsheets/d/11923uPwbBZFjjGgGUA6NLw09EwE0CqkOc4q9oUmW1yo/edit?usp=sharing"",""พะเยา!I406"")"),0)</f>
        <v>0</v>
      </c>
      <c r="J511" s="207">
        <f ca="1">IFERROR(__xludf.DUMMYFUNCTION("IMPORTRANGE(""https://docs.google.com/spreadsheets/d/11923uPwbBZFjjGgGUA6NLw09EwE0CqkOc4q9oUmW1yo/edit?usp=sharing"",""พะเยา!J406"")"),2)</f>
        <v>2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IFERROR(__xludf.DUMMYFUNCTION("IMPORTRANGE(""https://docs.google.com/spreadsheets/d/11923uPwbBZFjjGgGUA6NLw09EwE0CqkOc4q9oUmW1yo/edit?usp=sharing"",""พะเยา!I407"")"),0)</f>
        <v>0</v>
      </c>
      <c r="J512" s="207">
        <f ca="1">IFERROR(__xludf.DUMMYFUNCTION("IMPORTRANGE(""https://docs.google.com/spreadsheets/d/11923uPwbBZFjjGgGUA6NLw09EwE0CqkOc4q9oUmW1yo/edit?usp=sharing"",""พะเยา!J407"")"),0)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IFERROR(__xludf.DUMMYFUNCTION("IMPORTRANGE(""https://docs.google.com/spreadsheets/d/11923uPwbBZFjjGgGUA6NLw09EwE0CqkOc4q9oUmW1yo/edit?usp=sharing"",""พะเยา!I408"")"),0)</f>
        <v>0</v>
      </c>
      <c r="J513" s="207">
        <f ca="1">IFERROR(__xludf.DUMMYFUNCTION("IMPORTRANGE(""https://docs.google.com/spreadsheets/d/11923uPwbBZFjjGgGUA6NLw09EwE0CqkOc4q9oUmW1yo/edit?usp=sharing"",""พะเยา!J408"")"),0)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IFERROR(__xludf.DUMMYFUNCTION("IMPORTRANGE(""https://docs.google.com/spreadsheets/d/11923uPwbBZFjjGgGUA6NLw09EwE0CqkOc4q9oUmW1yo/edit?usp=sharing"",""พะเยา!I409"")"),0)</f>
        <v>0</v>
      </c>
      <c r="J514" s="207">
        <f ca="1">IFERROR(__xludf.DUMMYFUNCTION("IMPORTRANGE(""https://docs.google.com/spreadsheets/d/11923uPwbBZFjjGgGUA6NLw09EwE0CqkOc4q9oUmW1yo/edit?usp=sharing"",""พะเยา!J409"")"),0)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IFERROR(__xludf.DUMMYFUNCTION("IMPORTRANGE(""https://docs.google.com/spreadsheets/d/11923uPwbBZFjjGgGUA6NLw09EwE0CqkOc4q9oUmW1yo/edit?usp=sharing"",""พะเยา!I410"")"),0)</f>
        <v>0</v>
      </c>
      <c r="J515" s="207">
        <f ca="1">IFERROR(__xludf.DUMMYFUNCTION("IMPORTRANGE(""https://docs.google.com/spreadsheets/d/11923uPwbBZFjjGgGUA6NLw09EwE0CqkOc4q9oUmW1yo/edit?usp=sharing"",""พะเยา!J410"")"),0)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IFERROR(__xludf.DUMMYFUNCTION("IMPORTRANGE(""https://docs.google.com/spreadsheets/d/11923uPwbBZFjjGgGUA6NLw09EwE0CqkOc4q9oUmW1yo/edit?usp=sharing"",""พะเยา!I411"")"),0)</f>
        <v>0</v>
      </c>
      <c r="J516" s="276">
        <f ca="1">IFERROR(__xludf.DUMMYFUNCTION("IMPORTRANGE(""https://docs.google.com/spreadsheets/d/11923uPwbBZFjjGgGUA6NLw09EwE0CqkOc4q9oUmW1yo/edit?usp=sharing"",""พะเยา!J411"")"),0)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IFERROR(__xludf.DUMMYFUNCTION("IMPORTRANGE(""https://docs.google.com/spreadsheets/d/11923uPwbBZFjjGgGUA6NLw09EwE0CqkOc4q9oUmW1yo/edit?usp=sharing"",""พะเยา!I412"")"),0)</f>
        <v>0</v>
      </c>
      <c r="J517" s="292">
        <f ca="1">IFERROR(__xludf.DUMMYFUNCTION("IMPORTRANGE(""https://docs.google.com/spreadsheets/d/11923uPwbBZFjjGgGUA6NLw09EwE0CqkOc4q9oUmW1yo/edit?usp=sharing"",""พะเยา!J412"")"),0)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IFERROR(__xludf.DUMMYFUNCTION("IMPORTRANGE(""https://docs.google.com/spreadsheets/d/11923uPwbBZFjjGgGUA6NLw09EwE0CqkOc4q9oUmW1yo/edit?usp=sharing"",""พะเยา!I413"")"),0)</f>
        <v>0</v>
      </c>
      <c r="J518" s="292">
        <f ca="1">IFERROR(__xludf.DUMMYFUNCTION("IMPORTRANGE(""https://docs.google.com/spreadsheets/d/11923uPwbBZFjjGgGUA6NLw09EwE0CqkOc4q9oUmW1yo/edit?usp=sharing"",""พะเยา!J413"")"),0)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IFERROR(__xludf.DUMMYFUNCTION("IMPORTRANGE(""https://docs.google.com/spreadsheets/d/11923uPwbBZFjjGgGUA6NLw09EwE0CqkOc4q9oUmW1yo/edit?usp=sharing"",""พะเยา!I414"")"),0)</f>
        <v>0</v>
      </c>
      <c r="J519" s="197">
        <f ca="1">IFERROR(__xludf.DUMMYFUNCTION("IMPORTRANGE(""https://docs.google.com/spreadsheets/d/11923uPwbBZFjjGgGUA6NLw09EwE0CqkOc4q9oUmW1yo/edit?usp=sharing"",""พะเยา!J414"")"),0)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IFERROR(__xludf.DUMMYFUNCTION("IMPORTRANGE(""https://docs.google.com/spreadsheets/d/11923uPwbBZFjjGgGUA6NLw09EwE0CqkOc4q9oUmW1yo/edit?usp=sharing"",""พะเยา!I415"")"),0)</f>
        <v>0</v>
      </c>
      <c r="J520" s="197">
        <f ca="1">IFERROR(__xludf.DUMMYFUNCTION("IMPORTRANGE(""https://docs.google.com/spreadsheets/d/11923uPwbBZFjjGgGUA6NLw09EwE0CqkOc4q9oUmW1yo/edit?usp=sharing"",""พะเยา!J415"")"),0)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IFERROR(__xludf.DUMMYFUNCTION("IMPORTRANGE(""https://docs.google.com/spreadsheets/d/11923uPwbBZFjjGgGUA6NLw09EwE0CqkOc4q9oUmW1yo/edit?usp=sharing"",""พะเยา!I416"")"),0)</f>
        <v>0</v>
      </c>
      <c r="J521" s="197">
        <f ca="1">IFERROR(__xludf.DUMMYFUNCTION("IMPORTRANGE(""https://docs.google.com/spreadsheets/d/11923uPwbBZFjjGgGUA6NLw09EwE0CqkOc4q9oUmW1yo/edit?usp=sharing"",""พะเยา!J416"")"),0)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IFERROR(__xludf.DUMMYFUNCTION("IMPORTRANGE(""https://docs.google.com/spreadsheets/d/11923uPwbBZFjjGgGUA6NLw09EwE0CqkOc4q9oUmW1yo/edit?usp=sharing"",""พะเยา!I417"")"),0)</f>
        <v>0</v>
      </c>
      <c r="J522" s="197">
        <f ca="1">IFERROR(__xludf.DUMMYFUNCTION("IMPORTRANGE(""https://docs.google.com/spreadsheets/d/11923uPwbBZFjjGgGUA6NLw09EwE0CqkOc4q9oUmW1yo/edit?usp=sharing"",""พะเยา!J417"")"),0)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IFERROR(__xludf.DUMMYFUNCTION("IMPORTRANGE(""https://docs.google.com/spreadsheets/d/11923uPwbBZFjjGgGUA6NLw09EwE0CqkOc4q9oUmW1yo/edit?usp=sharing"",""พะเยา!I418"")"),0)</f>
        <v>0</v>
      </c>
      <c r="J523" s="197">
        <f ca="1">IFERROR(__xludf.DUMMYFUNCTION("IMPORTRANGE(""https://docs.google.com/spreadsheets/d/11923uPwbBZFjjGgGUA6NLw09EwE0CqkOc4q9oUmW1yo/edit?usp=sharing"",""พะเยา!J418"")"),0)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IFERROR(__xludf.DUMMYFUNCTION("IMPORTRANGE(""https://docs.google.com/spreadsheets/d/11923uPwbBZFjjGgGUA6NLw09EwE0CqkOc4q9oUmW1yo/edit?usp=sharing"",""พะเยา!I419"")"),0)</f>
        <v>0</v>
      </c>
      <c r="J524" s="197">
        <f ca="1">IFERROR(__xludf.DUMMYFUNCTION("IMPORTRANGE(""https://docs.google.com/spreadsheets/d/11923uPwbBZFjjGgGUA6NLw09EwE0CqkOc4q9oUmW1yo/edit?usp=sharing"",""พะเยา!J419"")"),0)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IFERROR(__xludf.DUMMYFUNCTION("IMPORTRANGE(""https://docs.google.com/spreadsheets/d/11923uPwbBZFjjGgGUA6NLw09EwE0CqkOc4q9oUmW1yo/edit?usp=sharing"",""พะเยา!I420"")"),0)</f>
        <v>0</v>
      </c>
      <c r="J525" s="292">
        <f ca="1">IFERROR(__xludf.DUMMYFUNCTION("IMPORTRANGE(""https://docs.google.com/spreadsheets/d/11923uPwbBZFjjGgGUA6NLw09EwE0CqkOc4q9oUmW1yo/edit?usp=sharing"",""พะเยา!J420"")"),0)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IFERROR(__xludf.DUMMYFUNCTION("IMPORTRANGE(""https://docs.google.com/spreadsheets/d/11923uPwbBZFjjGgGUA6NLw09EwE0CqkOc4q9oUmW1yo/edit?usp=sharing"",""พะเยา!I421"")"),0)</f>
        <v>0</v>
      </c>
      <c r="J526" s="292">
        <f ca="1">IFERROR(__xludf.DUMMYFUNCTION("IMPORTRANGE(""https://docs.google.com/spreadsheets/d/11923uPwbBZFjjGgGUA6NLw09EwE0CqkOc4q9oUmW1yo/edit?usp=sharing"",""พะเยา!J421"")"),0)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IFERROR(__xludf.DUMMYFUNCTION("IMPORTRANGE(""https://docs.google.com/spreadsheets/d/11923uPwbBZFjjGgGUA6NLw09EwE0CqkOc4q9oUmW1yo/edit?usp=sharing"",""พะเยา!I422"")"),0)</f>
        <v>0</v>
      </c>
      <c r="J527" s="207">
        <f ca="1">IFERROR(__xludf.DUMMYFUNCTION("IMPORTRANGE(""https://docs.google.com/spreadsheets/d/11923uPwbBZFjjGgGUA6NLw09EwE0CqkOc4q9oUmW1yo/edit?usp=sharing"",""พะเยา!J422"")"),0)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IFERROR(__xludf.DUMMYFUNCTION("IMPORTRANGE(""https://docs.google.com/spreadsheets/d/11923uPwbBZFjjGgGUA6NLw09EwE0CqkOc4q9oUmW1yo/edit?usp=sharing"",""พะเยา!I423"")"),0)</f>
        <v>0</v>
      </c>
      <c r="J528" s="207">
        <f ca="1">IFERROR(__xludf.DUMMYFUNCTION("IMPORTRANGE(""https://docs.google.com/spreadsheets/d/11923uPwbBZFjjGgGUA6NLw09EwE0CqkOc4q9oUmW1yo/edit?usp=sharing"",""พะเยา!J423"")"),0)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IFERROR(__xludf.DUMMYFUNCTION("IMPORTRANGE(""https://docs.google.com/spreadsheets/d/11923uPwbBZFjjGgGUA6NLw09EwE0CqkOc4q9oUmW1yo/edit?usp=sharing"",""พะเยา!I424"")"),0)</f>
        <v>0</v>
      </c>
      <c r="J529" s="207">
        <f ca="1">IFERROR(__xludf.DUMMYFUNCTION("IMPORTRANGE(""https://docs.google.com/spreadsheets/d/11923uPwbBZFjjGgGUA6NLw09EwE0CqkOc4q9oUmW1yo/edit?usp=sharing"",""พะเยา!J424"")"),0)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IFERROR(__xludf.DUMMYFUNCTION("IMPORTRANGE(""https://docs.google.com/spreadsheets/d/11923uPwbBZFjjGgGUA6NLw09EwE0CqkOc4q9oUmW1yo/edit?usp=sharing"",""พะเยา!I425"")"),0)</f>
        <v>0</v>
      </c>
      <c r="J530" s="207">
        <f ca="1">IFERROR(__xludf.DUMMYFUNCTION("IMPORTRANGE(""https://docs.google.com/spreadsheets/d/11923uPwbBZFjjGgGUA6NLw09EwE0CqkOc4q9oUmW1yo/edit?usp=sharing"",""พะเยา!J425"")"),0)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IFERROR(__xludf.DUMMYFUNCTION("IMPORTRANGE(""https://docs.google.com/spreadsheets/d/11923uPwbBZFjjGgGUA6NLw09EwE0CqkOc4q9oUmW1yo/edit?usp=sharing"",""พะเยา!I426"")"),0)</f>
        <v>0</v>
      </c>
      <c r="J531" s="207">
        <f ca="1">IFERROR(__xludf.DUMMYFUNCTION("IMPORTRANGE(""https://docs.google.com/spreadsheets/d/11923uPwbBZFjjGgGUA6NLw09EwE0CqkOc4q9oUmW1yo/edit?usp=sharing"",""พะเยา!J426"")"),0)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IFERROR(__xludf.DUMMYFUNCTION("IMPORTRANGE(""https://docs.google.com/spreadsheets/d/11923uPwbBZFjjGgGUA6NLw09EwE0CqkOc4q9oUmW1yo/edit?usp=sharing"",""พะเยา!I427"")"),0)</f>
        <v>0</v>
      </c>
      <c r="J532" s="474">
        <f ca="1">IFERROR(__xludf.DUMMYFUNCTION("IMPORTRANGE(""https://docs.google.com/spreadsheets/d/11923uPwbBZFjjGgGUA6NLw09EwE0CqkOc4q9oUmW1yo/edit?usp=sharing"",""พะเยา!J427"")"),0)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IFERROR(__xludf.DUMMYFUNCTION("IMPORTRANGE(""https://docs.google.com/spreadsheets/d/11923uPwbBZFjjGgGUA6NLw09EwE0CqkOc4q9oUmW1yo/edit?usp=sharing"",""พะเยา!I428"")"),22)</f>
        <v>22</v>
      </c>
      <c r="J533" s="418">
        <f ca="1">IFERROR(__xludf.DUMMYFUNCTION("IMPORTRANGE(""https://docs.google.com/spreadsheets/d/11923uPwbBZFjjGgGUA6NLw09EwE0CqkOc4q9oUmW1yo/edit?usp=sharing"",""พะเยา!J428"")"),22)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IFERROR(__xludf.DUMMYFUNCTION("IMPORTRANGE(""https://docs.google.com/spreadsheets/d/11923uPwbBZFjjGgGUA6NLw09EwE0CqkOc4q9oUmW1yo/edit?usp=sharing"",""พะเยา!L428"")"),34340)</f>
        <v>34340</v>
      </c>
      <c r="M533" s="420"/>
      <c r="N533" s="420">
        <f ca="1">IFERROR(__xludf.DUMMYFUNCTION("IMPORTRANGE(""https://docs.google.com/spreadsheets/d/11923uPwbBZFjjGgGUA6NLw09EwE0CqkOc4q9oUmW1yo/edit?usp=sharing"",""พะเยา!M428"")"),18660)</f>
        <v>18660</v>
      </c>
      <c r="O533" s="420">
        <f t="shared" ref="O533:O537" ca="1" si="118">+IF(L533&gt;0,N533*100/L533,0)</f>
        <v>54.338963308095515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IFERROR(__xludf.DUMMYFUNCTION("IMPORTRANGE(""https://docs.google.com/spreadsheets/d/11923uPwbBZFjjGgGUA6NLw09EwE0CqkOc4q9oUmW1yo/edit?usp=sharing"",""พะเยา!L429"")"),0)</f>
        <v>0</v>
      </c>
      <c r="M534" s="172"/>
      <c r="N534" s="178">
        <f ca="1">IFERROR(__xludf.DUMMYFUNCTION("IMPORTRANGE(""https://docs.google.com/spreadsheets/d/11923uPwbBZFjjGgGUA6NLw09EwE0CqkOc4q9oUmW1yo/edit?usp=sharing"",""พะเยา!M429"")"),0)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IFERROR(__xludf.DUMMYFUNCTION("IMPORTRANGE(""https://docs.google.com/spreadsheets/d/11923uPwbBZFjjGgGUA6NLw09EwE0CqkOc4q9oUmW1yo/edit?usp=sharing"",""พะเยา!L430"")"),34340)</f>
        <v>34340</v>
      </c>
      <c r="M535" s="173"/>
      <c r="N535" s="178">
        <f ca="1">IFERROR(__xludf.DUMMYFUNCTION("IMPORTRANGE(""https://docs.google.com/spreadsheets/d/11923uPwbBZFjjGgGUA6NLw09EwE0CqkOc4q9oUmW1yo/edit?usp=sharing"",""พะเยา!M430"")"),18660)</f>
        <v>18660</v>
      </c>
      <c r="O535" s="178">
        <f t="shared" ca="1" si="118"/>
        <v>54.338963308095515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IFERROR(__xludf.DUMMYFUNCTION("IMPORTRANGE(""https://docs.google.com/spreadsheets/d/11923uPwbBZFjjGgGUA6NLw09EwE0CqkOc4q9oUmW1yo/edit?usp=sharing"",""พะเยา!L431"")"),0)</f>
        <v>0</v>
      </c>
      <c r="M536" s="178"/>
      <c r="N536" s="178">
        <f ca="1">IFERROR(__xludf.DUMMYFUNCTION("IMPORTRANGE(""https://docs.google.com/spreadsheets/d/11923uPwbBZFjjGgGUA6NLw09EwE0CqkOc4q9oUmW1yo/edit?usp=sharing"",""พะเยา!M431"")"),0)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IFERROR(__xludf.DUMMYFUNCTION("IMPORTRANGE(""https://docs.google.com/spreadsheets/d/11923uPwbBZFjjGgGUA6NLw09EwE0CqkOc4q9oUmW1yo/edit?usp=sharing"",""พะเยา!L432"")"),34340)</f>
        <v>34340</v>
      </c>
      <c r="M537" s="178"/>
      <c r="N537" s="178">
        <f ca="1">IFERROR(__xludf.DUMMYFUNCTION("IMPORTRANGE(""https://docs.google.com/spreadsheets/d/11923uPwbBZFjjGgGUA6NLw09EwE0CqkOc4q9oUmW1yo/edit?usp=sharing"",""พะเยา!M432"")"),18660)</f>
        <v>18660</v>
      </c>
      <c r="O537" s="178">
        <f t="shared" ca="1" si="118"/>
        <v>54.338963308095515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IFERROR(__xludf.DUMMYFUNCTION("IMPORTRANGE(""https://docs.google.com/spreadsheets/d/11923uPwbBZFjjGgGUA6NLw09EwE0CqkOc4q9oUmW1yo/edit?usp=sharing"",""พะเยา!M433"")"),12520)</f>
        <v>12520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IFERROR(__xludf.DUMMYFUNCTION("IMPORTRANGE(""https://docs.google.com/spreadsheets/d/11923uPwbBZFjjGgGUA6NLw09EwE0CqkOc4q9oUmW1yo/edit?usp=sharing"",""พะเยา!M434"")"),0)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IFERROR(__xludf.DUMMYFUNCTION("IMPORTRANGE(""https://docs.google.com/spreadsheets/d/11923uPwbBZFjjGgGUA6NLw09EwE0CqkOc4q9oUmW1yo/edit?usp=sharing"",""พะเยา!M435"")"),0)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IFERROR(__xludf.DUMMYFUNCTION("IMPORTRANGE(""https://docs.google.com/spreadsheets/d/11923uPwbBZFjjGgGUA6NLw09EwE0CqkOc4q9oUmW1yo/edit?usp=sharing"",""พะเยา!M436"")"),6140)</f>
        <v>6140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IFERROR(__xludf.DUMMYFUNCTION("IMPORTRANGE(""https://docs.google.com/spreadsheets/d/11923uPwbBZFjjGgGUA6NLw09EwE0CqkOc4q9oUmW1yo/edit?usp=sharing"",""พะเยา!J438"")"),0)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IFERROR(__xludf.DUMMYFUNCTION("IMPORTRANGE(""https://docs.google.com/spreadsheets/d/11923uPwbBZFjjGgGUA6NLw09EwE0CqkOc4q9oUmW1yo/edit?usp=sharing"",""พะเยา!J439"")"),1)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IFERROR(__xludf.DUMMYFUNCTION("IMPORTRANGE(""https://docs.google.com/spreadsheets/d/11923uPwbBZFjjGgGUA6NLw09EwE0CqkOc4q9oUmW1yo/edit?usp=sharing"",""พะเยา!J440"")"),1)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IFERROR(__xludf.DUMMYFUNCTION("IMPORTRANGE(""https://docs.google.com/spreadsheets/d/11923uPwbBZFjjGgGUA6NLw09EwE0CqkOc4q9oUmW1yo/edit?usp=sharing"",""พะเยา!J441"")"),1)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IFERROR(__xludf.DUMMYFUNCTION("IMPORTRANGE(""https://docs.google.com/spreadsheets/d/11923uPwbBZFjjGgGUA6NLw09EwE0CqkOc4q9oUmW1yo/edit?usp=sharing"",""พะเยา!I442"")"),22)</f>
        <v>22</v>
      </c>
      <c r="J547" s="198">
        <f ca="1">IFERROR(__xludf.DUMMYFUNCTION("IMPORTRANGE(""https://docs.google.com/spreadsheets/d/11923uPwbBZFjjGgGUA6NLw09EwE0CqkOc4q9oUmW1yo/edit?usp=sharing"",""พะเยา!J442"")"),22)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IFERROR(__xludf.DUMMYFUNCTION("IMPORTRANGE(""https://docs.google.com/spreadsheets/d/11923uPwbBZFjjGgGUA6NLw09EwE0CqkOc4q9oUmW1yo/edit?usp=sharing"",""พะเยา!J166"")"),0)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IFERROR(__xludf.DUMMYFUNCTION("IMPORTRANGE(""https://docs.google.com/spreadsheets/d/11923uPwbBZFjjGgGUA6NLw09EwE0CqkOc4q9oUmW1yo/edit?usp=sharing"",""พะเยา!J444"")"),0)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IFERROR(__xludf.DUMMYFUNCTION("IMPORTRANGE(""https://docs.google.com/spreadsheets/d/11923uPwbBZFjjGgGUA6NLw09EwE0CqkOc4q9oUmW1yo/edit?usp=sharing"",""พะเยา!J445"")"),0)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IFERROR(__xludf.DUMMYFUNCTION("IMPORTRANGE(""https://docs.google.com/spreadsheets/d/11923uPwbBZFjjGgGUA6NLw09EwE0CqkOc4q9oUmW1yo/edit?usp=sharing"",""พะเยา!I446"")"),0)</f>
        <v>0</v>
      </c>
      <c r="J551" s="418">
        <f ca="1">IFERROR(__xludf.DUMMYFUNCTION("IMPORTRANGE(""https://docs.google.com/spreadsheets/d/11923uPwbBZFjjGgGUA6NLw09EwE0CqkOc4q9oUmW1yo/edit?usp=sharing"",""พะเยา!J446"")"),0)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IFERROR(__xludf.DUMMYFUNCTION("IMPORTRANGE(""https://docs.google.com/spreadsheets/d/11923uPwbBZFjjGgGUA6NLw09EwE0CqkOc4q9oUmW1yo/edit?usp=sharing"",""พะเยา!L446"")"),0)</f>
        <v>0</v>
      </c>
      <c r="M551" s="420"/>
      <c r="N551" s="420">
        <f ca="1">IFERROR(__xludf.DUMMYFUNCTION("IMPORTRANGE(""https://docs.google.com/spreadsheets/d/11923uPwbBZFjjGgGUA6NLw09EwE0CqkOc4q9oUmW1yo/edit?usp=sharing"",""พะเยา!M446"")"),0)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IFERROR(__xludf.DUMMYFUNCTION("IMPORTRANGE(""https://docs.google.com/spreadsheets/d/11923uPwbBZFjjGgGUA6NLw09EwE0CqkOc4q9oUmW1yo/edit?usp=sharing"",""พะเยา!L447"")"),0)</f>
        <v>0</v>
      </c>
      <c r="M552" s="172"/>
      <c r="N552" s="178">
        <f ca="1">IFERROR(__xludf.DUMMYFUNCTION("IMPORTRANGE(""https://docs.google.com/spreadsheets/d/11923uPwbBZFjjGgGUA6NLw09EwE0CqkOc4q9oUmW1yo/edit?usp=sharing"",""พะเยา!M447"")"),0)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IFERROR(__xludf.DUMMYFUNCTION("IMPORTRANGE(""https://docs.google.com/spreadsheets/d/11923uPwbBZFjjGgGUA6NLw09EwE0CqkOc4q9oUmW1yo/edit?usp=sharing"",""พะเยา!L448"")"),0)</f>
        <v>0</v>
      </c>
      <c r="M553" s="173"/>
      <c r="N553" s="178">
        <f ca="1">IFERROR(__xludf.DUMMYFUNCTION("IMPORTRANGE(""https://docs.google.com/spreadsheets/d/11923uPwbBZFjjGgGUA6NLw09EwE0CqkOc4q9oUmW1yo/edit?usp=sharing"",""พะเยา!M448"")"),0)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IFERROR(__xludf.DUMMYFUNCTION("IMPORTRANGE(""https://docs.google.com/spreadsheets/d/11923uPwbBZFjjGgGUA6NLw09EwE0CqkOc4q9oUmW1yo/edit?usp=sharing"",""พะเยา!L449"")"),0)</f>
        <v>0</v>
      </c>
      <c r="M554" s="178"/>
      <c r="N554" s="178">
        <f ca="1">IFERROR(__xludf.DUMMYFUNCTION("IMPORTRANGE(""https://docs.google.com/spreadsheets/d/11923uPwbBZFjjGgGUA6NLw09EwE0CqkOc4q9oUmW1yo/edit?usp=sharing"",""พะเยา!M449"")"),0)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IFERROR(__xludf.DUMMYFUNCTION("IMPORTRANGE(""https://docs.google.com/spreadsheets/d/11923uPwbBZFjjGgGUA6NLw09EwE0CqkOc4q9oUmW1yo/edit?usp=sharing"",""พะเยา!L450"")"),0)</f>
        <v>0</v>
      </c>
      <c r="M555" s="178"/>
      <c r="N555" s="178">
        <f ca="1">IFERROR(__xludf.DUMMYFUNCTION("IMPORTRANGE(""https://docs.google.com/spreadsheets/d/11923uPwbBZFjjGgGUA6NLw09EwE0CqkOc4q9oUmW1yo/edit?usp=sharing"",""พะเยา!M450"")"),0)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IFERROR(__xludf.DUMMYFUNCTION("IMPORTRANGE(""https://docs.google.com/spreadsheets/d/11923uPwbBZFjjGgGUA6NLw09EwE0CqkOc4q9oUmW1yo/edit?usp=sharing"",""พะเยา!M451"")"),0)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IFERROR(__xludf.DUMMYFUNCTION("IMPORTRANGE(""https://docs.google.com/spreadsheets/d/11923uPwbBZFjjGgGUA6NLw09EwE0CqkOc4q9oUmW1yo/edit?usp=sharing"",""พะเยา!M452"")"),0)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IFERROR(__xludf.DUMMYFUNCTION("IMPORTRANGE(""https://docs.google.com/spreadsheets/d/11923uPwbBZFjjGgGUA6NLw09EwE0CqkOc4q9oUmW1yo/edit?usp=sharing"",""พะเยา!M453"")"),0)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IFERROR(__xludf.DUMMYFUNCTION("IMPORTRANGE(""https://docs.google.com/spreadsheets/d/11923uPwbBZFjjGgGUA6NLw09EwE0CqkOc4q9oUmW1yo/edit?usp=sharing"",""พะเยา!M454"")"),0)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IFERROR(__xludf.DUMMYFUNCTION("IMPORTRANGE(""https://docs.google.com/spreadsheets/d/11923uPwbBZFjjGgGUA6NLw09EwE0CqkOc4q9oUmW1yo/edit?usp=sharing"",""พะเยา!I455"")"),0)</f>
        <v>0</v>
      </c>
      <c r="J560" s="170">
        <f ca="1">IFERROR(__xludf.DUMMYFUNCTION("IMPORTRANGE(""https://docs.google.com/spreadsheets/d/11923uPwbBZFjjGgGUA6NLw09EwE0CqkOc4q9oUmW1yo/edit?usp=sharing"",""พะเยา!J455"")"),0)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IFERROR(__xludf.DUMMYFUNCTION("IMPORTRANGE(""https://docs.google.com/spreadsheets/d/11923uPwbBZFjjGgGUA6NLw09EwE0CqkOc4q9oUmW1yo/edit?usp=sharing"",""พะเยา!I456"")"),0)</f>
        <v>0</v>
      </c>
      <c r="J561" s="213">
        <f ca="1">IFERROR(__xludf.DUMMYFUNCTION("IMPORTRANGE(""https://docs.google.com/spreadsheets/d/11923uPwbBZFjjGgGUA6NLw09EwE0CqkOc4q9oUmW1yo/edit?usp=sharing"",""พะเยา!J456"")"),0)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 t="str">
        <f ca="1">IFERROR(__xludf.DUMMYFUNCTION("IMPORTRANGE(""https://docs.google.com/spreadsheets/d/11923uPwbBZFjjGgGUA6NLw09EwE0CqkOc4q9oUmW1yo/edit?usp=sharing"",""พะเยา!I457"")"),"")</f>
        <v/>
      </c>
      <c r="J562" s="213" t="str">
        <f ca="1">IFERROR(__xludf.DUMMYFUNCTION("IMPORTRANGE(""https://docs.google.com/spreadsheets/d/11923uPwbBZFjjGgGUA6NLw09EwE0CqkOc4q9oUmW1yo/edit?usp=sharing"",""พะเยา!J457"")"),"")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 t="str">
        <f ca="1">IFERROR(__xludf.DUMMYFUNCTION("IMPORTRANGE(""https://docs.google.com/spreadsheets/d/11923uPwbBZFjjGgGUA6NLw09EwE0CqkOc4q9oUmW1yo/edit?usp=sharing"",""พะเยา!I458"")"),"")</f>
        <v/>
      </c>
      <c r="J563" s="197" t="str">
        <f ca="1">IFERROR(__xludf.DUMMYFUNCTION("IMPORTRANGE(""https://docs.google.com/spreadsheets/d/11923uPwbBZFjjGgGUA6NLw09EwE0CqkOc4q9oUmW1yo/edit?usp=sharing"",""พะเยา!J458"")"),"")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IFERROR(__xludf.DUMMYFUNCTION("IMPORTRANGE(""https://docs.google.com/spreadsheets/d/11923uPwbBZFjjGgGUA6NLw09EwE0CqkOc4q9oUmW1yo/edit?usp=sharing"",""พะเยา!I459"")"),1950)</f>
        <v>1950</v>
      </c>
      <c r="J564" s="379">
        <f ca="1">IFERROR(__xludf.DUMMYFUNCTION("IMPORTRANGE(""https://docs.google.com/spreadsheets/d/11923uPwbBZFjjGgGUA6NLw09EwE0CqkOc4q9oUmW1yo/edit?usp=sharing"",""พะเยา!J459"")"),863)</f>
        <v>863</v>
      </c>
      <c r="K564" s="380">
        <f t="shared" ca="1" si="121"/>
        <v>44.256410256410255</v>
      </c>
      <c r="L564" s="381">
        <f ca="1">IFERROR(__xludf.DUMMYFUNCTION("IMPORTRANGE(""https://docs.google.com/spreadsheets/d/11923uPwbBZFjjGgGUA6NLw09EwE0CqkOc4q9oUmW1yo/edit?usp=sharing"",""พะเยา!L459"")"),142240)</f>
        <v>142240</v>
      </c>
      <c r="M564" s="381"/>
      <c r="N564" s="381">
        <f ca="1">IFERROR(__xludf.DUMMYFUNCTION("IMPORTRANGE(""https://docs.google.com/spreadsheets/d/11923uPwbBZFjjGgGUA6NLw09EwE0CqkOc4q9oUmW1yo/edit?usp=sharing"",""พะเยา!M459"")"),0)</f>
        <v>0</v>
      </c>
      <c r="O564" s="381">
        <f t="shared" ref="O564:O568" ca="1" si="122">+IF(L564&gt;0,N564*100/L564,0)</f>
        <v>0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IFERROR(__xludf.DUMMYFUNCTION("IMPORTRANGE(""https://docs.google.com/spreadsheets/d/11923uPwbBZFjjGgGUA6NLw09EwE0CqkOc4q9oUmW1yo/edit?usp=sharing"",""พะเยา!L460"")"),0)</f>
        <v>0</v>
      </c>
      <c r="M565" s="172"/>
      <c r="N565" s="178">
        <f ca="1">IFERROR(__xludf.DUMMYFUNCTION("IMPORTRANGE(""https://docs.google.com/spreadsheets/d/11923uPwbBZFjjGgGUA6NLw09EwE0CqkOc4q9oUmW1yo/edit?usp=sharing"",""พะเยา!M460"")"),0)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IFERROR(__xludf.DUMMYFUNCTION("IMPORTRANGE(""https://docs.google.com/spreadsheets/d/11923uPwbBZFjjGgGUA6NLw09EwE0CqkOc4q9oUmW1yo/edit?usp=sharing"",""พะเยา!L461"")"),142240)</f>
        <v>142240</v>
      </c>
      <c r="M566" s="173"/>
      <c r="N566" s="178">
        <f ca="1">IFERROR(__xludf.DUMMYFUNCTION("IMPORTRANGE(""https://docs.google.com/spreadsheets/d/11923uPwbBZFjjGgGUA6NLw09EwE0CqkOc4q9oUmW1yo/edit?usp=sharing"",""พะเยา!M461"")"),0)</f>
        <v>0</v>
      </c>
      <c r="O566" s="178">
        <f t="shared" ca="1" si="122"/>
        <v>0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IFERROR(__xludf.DUMMYFUNCTION("IMPORTRANGE(""https://docs.google.com/spreadsheets/d/11923uPwbBZFjjGgGUA6NLw09EwE0CqkOc4q9oUmW1yo/edit?usp=sharing"",""พะเยา!L462"")"),0)</f>
        <v>0</v>
      </c>
      <c r="M567" s="178"/>
      <c r="N567" s="178">
        <f ca="1">IFERROR(__xludf.DUMMYFUNCTION("IMPORTRANGE(""https://docs.google.com/spreadsheets/d/11923uPwbBZFjjGgGUA6NLw09EwE0CqkOc4q9oUmW1yo/edit?usp=sharing"",""พะเยา!M462"")"),0)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IFERROR(__xludf.DUMMYFUNCTION("IMPORTRANGE(""https://docs.google.com/spreadsheets/d/11923uPwbBZFjjGgGUA6NLw09EwE0CqkOc4q9oUmW1yo/edit?usp=sharing"",""พะเยา!L463"")"),142240)</f>
        <v>142240</v>
      </c>
      <c r="M568" s="178"/>
      <c r="N568" s="178">
        <f ca="1">IFERROR(__xludf.DUMMYFUNCTION("IMPORTRANGE(""https://docs.google.com/spreadsheets/d/11923uPwbBZFjjGgGUA6NLw09EwE0CqkOc4q9oUmW1yo/edit?usp=sharing"",""พะเยา!M463"")"),0)</f>
        <v>0</v>
      </c>
      <c r="O568" s="178">
        <f t="shared" ca="1" si="122"/>
        <v>0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IFERROR(__xludf.DUMMYFUNCTION("IMPORTRANGE(""https://docs.google.com/spreadsheets/d/11923uPwbBZFjjGgGUA6NLw09EwE0CqkOc4q9oUmW1yo/edit?usp=sharing"",""พะเยา!M464"")"),0)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IFERROR(__xludf.DUMMYFUNCTION("IMPORTRANGE(""https://docs.google.com/spreadsheets/d/11923uPwbBZFjjGgGUA6NLw09EwE0CqkOc4q9oUmW1yo/edit?usp=sharing"",""พะเยา!M465"")"),0)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IFERROR(__xludf.DUMMYFUNCTION("IMPORTRANGE(""https://docs.google.com/spreadsheets/d/11923uPwbBZFjjGgGUA6NLw09EwE0CqkOc4q9oUmW1yo/edit?usp=sharing"",""พะเยา!M466"")"),0)</f>
        <v>0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IFERROR(__xludf.DUMMYFUNCTION("IMPORTRANGE(""https://docs.google.com/spreadsheets/d/11923uPwbBZFjjGgGUA6NLw09EwE0CqkOc4q9oUmW1yo/edit?usp=sharing"",""พะเยา!M467"")"),0)</f>
        <v>0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IFERROR(__xludf.DUMMYFUNCTION("IMPORTRANGE(""https://docs.google.com/spreadsheets/d/11923uPwbBZFjjGgGUA6NLw09EwE0CqkOc4q9oUmW1yo/edit?usp=sharing"",""พะเยา!I468"")"),1950)</f>
        <v>1950</v>
      </c>
      <c r="J573" s="428">
        <f ca="1">IFERROR(__xludf.DUMMYFUNCTION("IMPORTRANGE(""https://docs.google.com/spreadsheets/d/11923uPwbBZFjjGgGUA6NLw09EwE0CqkOc4q9oUmW1yo/edit?usp=sharing"",""พะเยา!J468"")"),863)</f>
        <v>863</v>
      </c>
      <c r="K573" s="211">
        <f ca="1">IF(I573&gt;0,J573*100/I573,0)</f>
        <v>44.256410256410255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IFERROR(__xludf.DUMMYFUNCTION("IMPORTRANGE(""https://docs.google.com/spreadsheets/d/11923uPwbBZFjjGgGUA6NLw09EwE0CqkOc4q9oUmW1yo/edit?usp=sharing"",""พะเยา!I470"")"),0)</f>
        <v>0</v>
      </c>
      <c r="J575" s="207">
        <f ca="1">IFERROR(__xludf.DUMMYFUNCTION("IMPORTRANGE(""https://docs.google.com/spreadsheets/d/11923uPwbBZFjjGgGUA6NLw09EwE0CqkOc4q9oUmW1yo/edit?usp=sharing"",""พะเยา!J470"")"),0)</f>
        <v>0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IFERROR(__xludf.DUMMYFUNCTION("IMPORTRANGE(""https://docs.google.com/spreadsheets/d/11923uPwbBZFjjGgGUA6NLw09EwE0CqkOc4q9oUmW1yo/edit?usp=sharing"",""พะเยา!I471"")"),0)</f>
        <v>0</v>
      </c>
      <c r="J576" s="207">
        <f ca="1">IFERROR(__xludf.DUMMYFUNCTION("IMPORTRANGE(""https://docs.google.com/spreadsheets/d/11923uPwbBZFjjGgGUA6NLw09EwE0CqkOc4q9oUmW1yo/edit?usp=sharing"",""พะเยา!J471"")"),0)</f>
        <v>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IFERROR(__xludf.DUMMYFUNCTION("IMPORTRANGE(""https://docs.google.com/spreadsheets/d/11923uPwbBZFjjGgGUA6NLw09EwE0CqkOc4q9oUmW1yo/edit?usp=sharing"",""พะเยา!I472"")"),0)</f>
        <v>0</v>
      </c>
      <c r="J577" s="198">
        <f ca="1">IFERROR(__xludf.DUMMYFUNCTION("IMPORTRANGE(""https://docs.google.com/spreadsheets/d/11923uPwbBZFjjGgGUA6NLw09EwE0CqkOc4q9oUmW1yo/edit?usp=sharing"",""พะเยา!J472"")"),863)</f>
        <v>863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IFERROR(__xludf.DUMMYFUNCTION("IMPORTRANGE(""https://docs.google.com/spreadsheets/d/11923uPwbBZFjjGgGUA6NLw09EwE0CqkOc4q9oUmW1yo/edit?usp=sharing"",""พะเยา!I473"")"),0)</f>
        <v>0</v>
      </c>
      <c r="J578" s="207">
        <f ca="1">IFERROR(__xludf.DUMMYFUNCTION("IMPORTRANGE(""https://docs.google.com/spreadsheets/d/11923uPwbBZFjjGgGUA6NLw09EwE0CqkOc4q9oUmW1yo/edit?usp=sharing"",""พะเยา!J473"")"),0)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IFERROR(__xludf.DUMMYFUNCTION("IMPORTRANGE(""https://docs.google.com/spreadsheets/d/11923uPwbBZFjjGgGUA6NLw09EwE0CqkOc4q9oUmW1yo/edit?usp=sharing"",""พะเยา!I474"")"),0)</f>
        <v>0</v>
      </c>
      <c r="J579" s="207">
        <f ca="1">IFERROR(__xludf.DUMMYFUNCTION("IMPORTRANGE(""https://docs.google.com/spreadsheets/d/11923uPwbBZFjjGgGUA6NLw09EwE0CqkOc4q9oUmW1yo/edit?usp=sharing"",""พะเยา!J474"")"),0)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IFERROR(__xludf.DUMMYFUNCTION("IMPORTRANGE(""https://docs.google.com/spreadsheets/d/11923uPwbBZFjjGgGUA6NLw09EwE0CqkOc4q9oUmW1yo/edit?usp=sharing"",""พะเยา!I475"")"),40)</f>
        <v>40</v>
      </c>
      <c r="J580" s="379">
        <f ca="1">IFERROR(__xludf.DUMMYFUNCTION("IMPORTRANGE(""https://docs.google.com/spreadsheets/d/11923uPwbBZFjjGgGUA6NLw09EwE0CqkOc4q9oUmW1yo/edit?usp=sharing"",""พะเยา!J475"")"),3)</f>
        <v>3</v>
      </c>
      <c r="K580" s="380">
        <f ca="1">IF(I580&gt;0,J580*100/I580,0)</f>
        <v>7.5</v>
      </c>
      <c r="L580" s="381">
        <f ca="1">IFERROR(__xludf.DUMMYFUNCTION("IMPORTRANGE(""https://docs.google.com/spreadsheets/d/11923uPwbBZFjjGgGUA6NLw09EwE0CqkOc4q9oUmW1yo/edit?usp=sharing"",""พะเยา!L475"")"),138840)</f>
        <v>138840</v>
      </c>
      <c r="M580" s="381"/>
      <c r="N580" s="381">
        <f ca="1">IFERROR(__xludf.DUMMYFUNCTION("IMPORTRANGE(""https://docs.google.com/spreadsheets/d/11923uPwbBZFjjGgGUA6NLw09EwE0CqkOc4q9oUmW1yo/edit?usp=sharing"",""พะเยา!M475"")"),0)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IFERROR(__xludf.DUMMYFUNCTION("IMPORTRANGE(""https://docs.google.com/spreadsheets/d/11923uPwbBZFjjGgGUA6NLw09EwE0CqkOc4q9oUmW1yo/edit?usp=sharing"",""พะเยา!L476"")"),0)</f>
        <v>0</v>
      </c>
      <c r="M581" s="172"/>
      <c r="N581" s="178">
        <f ca="1">IFERROR(__xludf.DUMMYFUNCTION("IMPORTRANGE(""https://docs.google.com/spreadsheets/d/11923uPwbBZFjjGgGUA6NLw09EwE0CqkOc4q9oUmW1yo/edit?usp=sharing"",""พะเยา!M476"")"),0)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IFERROR(__xludf.DUMMYFUNCTION("IMPORTRANGE(""https://docs.google.com/spreadsheets/d/11923uPwbBZFjjGgGUA6NLw09EwE0CqkOc4q9oUmW1yo/edit?usp=sharing"",""พะเยา!L477"")"),138840)</f>
        <v>138840</v>
      </c>
      <c r="M582" s="173"/>
      <c r="N582" s="178">
        <f ca="1">IFERROR(__xludf.DUMMYFUNCTION("IMPORTRANGE(""https://docs.google.com/spreadsheets/d/11923uPwbBZFjjGgGUA6NLw09EwE0CqkOc4q9oUmW1yo/edit?usp=sharing"",""พะเยา!M477"")"),0)</f>
        <v>0</v>
      </c>
      <c r="O582" s="178">
        <f t="shared" ca="1" si="124"/>
        <v>0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IFERROR(__xludf.DUMMYFUNCTION("IMPORTRANGE(""https://docs.google.com/spreadsheets/d/11923uPwbBZFjjGgGUA6NLw09EwE0CqkOc4q9oUmW1yo/edit?usp=sharing"",""พะเยา!L478"")"),0)</f>
        <v>0</v>
      </c>
      <c r="M583" s="178"/>
      <c r="N583" s="178">
        <f ca="1">IFERROR(__xludf.DUMMYFUNCTION("IMPORTRANGE(""https://docs.google.com/spreadsheets/d/11923uPwbBZFjjGgGUA6NLw09EwE0CqkOc4q9oUmW1yo/edit?usp=sharing"",""พะเยา!M478"")"),0)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IFERROR(__xludf.DUMMYFUNCTION("IMPORTRANGE(""https://docs.google.com/spreadsheets/d/11923uPwbBZFjjGgGUA6NLw09EwE0CqkOc4q9oUmW1yo/edit?usp=sharing"",""พะเยา!L479"")"),138840)</f>
        <v>138840</v>
      </c>
      <c r="M584" s="178"/>
      <c r="N584" s="178">
        <f ca="1">IFERROR(__xludf.DUMMYFUNCTION("IMPORTRANGE(""https://docs.google.com/spreadsheets/d/11923uPwbBZFjjGgGUA6NLw09EwE0CqkOc4q9oUmW1yo/edit?usp=sharing"",""พะเยา!M479"")"),0)</f>
        <v>0</v>
      </c>
      <c r="O584" s="178">
        <f t="shared" ca="1" si="124"/>
        <v>0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IFERROR(__xludf.DUMMYFUNCTION("IMPORTRANGE(""https://docs.google.com/spreadsheets/d/11923uPwbBZFjjGgGUA6NLw09EwE0CqkOc4q9oUmW1yo/edit?usp=sharing"",""พะเยา!M480"")"),0)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IFERROR(__xludf.DUMMYFUNCTION("IMPORTRANGE(""https://docs.google.com/spreadsheets/d/11923uPwbBZFjjGgGUA6NLw09EwE0CqkOc4q9oUmW1yo/edit?usp=sharing"",""พะเยา!M481"")"),0)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IFERROR(__xludf.DUMMYFUNCTION("IMPORTRANGE(""https://docs.google.com/spreadsheets/d/11923uPwbBZFjjGgGUA6NLw09EwE0CqkOc4q9oUmW1yo/edit?usp=sharing"",""พะเยา!M482"")"),0)</f>
        <v>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IFERROR(__xludf.DUMMYFUNCTION("IMPORTRANGE(""https://docs.google.com/spreadsheets/d/11923uPwbBZFjjGgGUA6NLw09EwE0CqkOc4q9oUmW1yo/edit?usp=sharing"",""พะเยา!M483"")"),0)</f>
        <v>0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IFERROR(__xludf.DUMMYFUNCTION("IMPORTRANGE(""https://docs.google.com/spreadsheets/d/11923uPwbBZFjjGgGUA6NLw09EwE0CqkOc4q9oUmW1yo/edit?usp=sharing"",""พะเยา!I484"")"),40)</f>
        <v>40</v>
      </c>
      <c r="J589" s="197">
        <f ca="1">IFERROR(__xludf.DUMMYFUNCTION("IMPORTRANGE(""https://docs.google.com/spreadsheets/d/11923uPwbBZFjjGgGUA6NLw09EwE0CqkOc4q9oUmW1yo/edit?usp=sharing"",""พะเยา!J484"")"),0)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IFERROR(__xludf.DUMMYFUNCTION("IMPORTRANGE(""https://docs.google.com/spreadsheets/d/11923uPwbBZFjjGgGUA6NLw09EwE0CqkOc4q9oUmW1yo/edit?usp=sharing"",""พะเยา!I485"")"),0)</f>
        <v>0</v>
      </c>
      <c r="J590" s="197">
        <f ca="1">IFERROR(__xludf.DUMMYFUNCTION("IMPORTRANGE(""https://docs.google.com/spreadsheets/d/11923uPwbBZFjjGgGUA6NLw09EwE0CqkOc4q9oUmW1yo/edit?usp=sharing"",""พะเยา!J485"")"),0)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IFERROR(__xludf.DUMMYFUNCTION("IMPORTRANGE(""https://docs.google.com/spreadsheets/d/11923uPwbBZFjjGgGUA6NLw09EwE0CqkOc4q9oUmW1yo/edit?usp=sharing"",""พะเยา!I486"")"),40)</f>
        <v>40</v>
      </c>
      <c r="J591" s="197">
        <f ca="1">IFERROR(__xludf.DUMMYFUNCTION("IMPORTRANGE(""https://docs.google.com/spreadsheets/d/11923uPwbBZFjjGgGUA6NLw09EwE0CqkOc4q9oUmW1yo/edit?usp=sharing"",""พะเยา!J486"")"),3)</f>
        <v>3</v>
      </c>
      <c r="K591" s="171">
        <f t="shared" ca="1" si="125"/>
        <v>7.5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IFERROR(__xludf.DUMMYFUNCTION("IMPORTRANGE(""https://docs.google.com/spreadsheets/d/11923uPwbBZFjjGgGUA6NLw09EwE0CqkOc4q9oUmW1yo/edit?usp=sharing"",""พะเยา!I487"")"),0)</f>
        <v>0</v>
      </c>
      <c r="J592" s="197">
        <f ca="1">IFERROR(__xludf.DUMMYFUNCTION("IMPORTRANGE(""https://docs.google.com/spreadsheets/d/11923uPwbBZFjjGgGUA6NLw09EwE0CqkOc4q9oUmW1yo/edit?usp=sharing"",""พะเยา!J487"")"),1.21)</f>
        <v>1.21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IFERROR(__xludf.DUMMYFUNCTION("IMPORTRANGE(""https://docs.google.com/spreadsheets/d/11923uPwbBZFjjGgGUA6NLw09EwE0CqkOc4q9oUmW1yo/edit?usp=sharing"",""พะเยา!I488"")"),40)</f>
        <v>40</v>
      </c>
      <c r="J593" s="197">
        <f ca="1">IFERROR(__xludf.DUMMYFUNCTION("IMPORTRANGE(""https://docs.google.com/spreadsheets/d/11923uPwbBZFjjGgGUA6NLw09EwE0CqkOc4q9oUmW1yo/edit?usp=sharing"",""พะเยา!J488"")"),0)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IFERROR(__xludf.DUMMYFUNCTION("IMPORTRANGE(""https://docs.google.com/spreadsheets/d/11923uPwbBZFjjGgGUA6NLw09EwE0CqkOc4q9oUmW1yo/edit?usp=sharing"",""พะเยา!I489"")"),0)</f>
        <v>0</v>
      </c>
      <c r="J594" s="197">
        <f ca="1">IFERROR(__xludf.DUMMYFUNCTION("IMPORTRANGE(""https://docs.google.com/spreadsheets/d/11923uPwbBZFjjGgGUA6NLw09EwE0CqkOc4q9oUmW1yo/edit?usp=sharing"",""พะเยา!J489"")"),0)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IFERROR(__xludf.DUMMYFUNCTION("IMPORTRANGE(""https://docs.google.com/spreadsheets/d/11923uPwbBZFjjGgGUA6NLw09EwE0CqkOc4q9oUmW1yo/edit?usp=sharing"",""พะเยา!I490"")"),40)</f>
        <v>40</v>
      </c>
      <c r="J595" s="197">
        <f ca="1">IFERROR(__xludf.DUMMYFUNCTION("IMPORTRANGE(""https://docs.google.com/spreadsheets/d/11923uPwbBZFjjGgGUA6NLw09EwE0CqkOc4q9oUmW1yo/edit?usp=sharing"",""พะเยา!J490"")"),3)</f>
        <v>3</v>
      </c>
      <c r="K595" s="171">
        <f t="shared" ca="1" si="125"/>
        <v>7.5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IFERROR(__xludf.DUMMYFUNCTION("IMPORTRANGE(""https://docs.google.com/spreadsheets/d/11923uPwbBZFjjGgGUA6NLw09EwE0CqkOc4q9oUmW1yo/edit?usp=sharing"",""พะเยา!I491"")"),0)</f>
        <v>0</v>
      </c>
      <c r="J596" s="250">
        <f ca="1">IFERROR(__xludf.DUMMYFUNCTION("IMPORTRANGE(""https://docs.google.com/spreadsheets/d/11923uPwbBZFjjGgGUA6NLw09EwE0CqkOc4q9oUmW1yo/edit?usp=sharing"",""พะเยา!J491"")"),1.21)</f>
        <v>1.21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IFERROR(__xludf.DUMMYFUNCTION("IMPORTRANGE(""https://docs.google.com/spreadsheets/d/11923uPwbBZFjjGgGUA6NLw09EwE0CqkOc4q9oUmW1yo/edit?usp=sharing"",""พะเยา!I492"")"),150)</f>
        <v>150</v>
      </c>
      <c r="J597" s="495">
        <f ca="1">IFERROR(__xludf.DUMMYFUNCTION("IMPORTRANGE(""https://docs.google.com/spreadsheets/d/11923uPwbBZFjjGgGUA6NLw09EwE0CqkOc4q9oUmW1yo/edit?usp=sharing"",""พะเยา!J492"")"),0)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IFERROR(__xludf.DUMMYFUNCTION("IMPORTRANGE(""https://docs.google.com/spreadsheets/d/11923uPwbBZFjjGgGUA6NLw09EwE0CqkOc4q9oUmW1yo/edit?usp=sharing"",""พะเยา!L492"")"),14050)</f>
        <v>14050</v>
      </c>
      <c r="M597" s="420"/>
      <c r="N597" s="420">
        <f ca="1">IFERROR(__xludf.DUMMYFUNCTION("IMPORTRANGE(""https://docs.google.com/spreadsheets/d/11923uPwbBZFjjGgGUA6NLw09EwE0CqkOc4q9oUmW1yo/edit?usp=sharing"",""พะเยา!M492"")"),0)</f>
        <v>0</v>
      </c>
      <c r="O597" s="420">
        <f t="shared" ref="O597:O601" ca="1" si="126">+IF(L597&gt;0,N597*100/L597,0)</f>
        <v>0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IFERROR(__xludf.DUMMYFUNCTION("IMPORTRANGE(""https://docs.google.com/spreadsheets/d/11923uPwbBZFjjGgGUA6NLw09EwE0CqkOc4q9oUmW1yo/edit?usp=sharing"",""พะเยา!L493"")"),0)</f>
        <v>0</v>
      </c>
      <c r="M598" s="172"/>
      <c r="N598" s="178">
        <f ca="1">IFERROR(__xludf.DUMMYFUNCTION("IMPORTRANGE(""https://docs.google.com/spreadsheets/d/11923uPwbBZFjjGgGUA6NLw09EwE0CqkOc4q9oUmW1yo/edit?usp=sharing"",""พะเยา!M493"")"),0)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IFERROR(__xludf.DUMMYFUNCTION("IMPORTRANGE(""https://docs.google.com/spreadsheets/d/11923uPwbBZFjjGgGUA6NLw09EwE0CqkOc4q9oUmW1yo/edit?usp=sharing"",""พะเยา!L494"")"),14050)</f>
        <v>14050</v>
      </c>
      <c r="M599" s="173"/>
      <c r="N599" s="178">
        <f ca="1">IFERROR(__xludf.DUMMYFUNCTION("IMPORTRANGE(""https://docs.google.com/spreadsheets/d/11923uPwbBZFjjGgGUA6NLw09EwE0CqkOc4q9oUmW1yo/edit?usp=sharing"",""พะเยา!M494"")"),0)</f>
        <v>0</v>
      </c>
      <c r="O599" s="178">
        <f t="shared" ca="1" si="126"/>
        <v>0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IFERROR(__xludf.DUMMYFUNCTION("IMPORTRANGE(""https://docs.google.com/spreadsheets/d/11923uPwbBZFjjGgGUA6NLw09EwE0CqkOc4q9oUmW1yo/edit?usp=sharing"",""พะเยา!L495"")"),0)</f>
        <v>0</v>
      </c>
      <c r="M600" s="178"/>
      <c r="N600" s="178">
        <f ca="1">IFERROR(__xludf.DUMMYFUNCTION("IMPORTRANGE(""https://docs.google.com/spreadsheets/d/11923uPwbBZFjjGgGUA6NLw09EwE0CqkOc4q9oUmW1yo/edit?usp=sharing"",""พะเยา!M495"")"),0)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IFERROR(__xludf.DUMMYFUNCTION("IMPORTRANGE(""https://docs.google.com/spreadsheets/d/11923uPwbBZFjjGgGUA6NLw09EwE0CqkOc4q9oUmW1yo/edit?usp=sharing"",""พะเยา!L496"")"),14050)</f>
        <v>14050</v>
      </c>
      <c r="M601" s="178"/>
      <c r="N601" s="178">
        <f ca="1">IFERROR(__xludf.DUMMYFUNCTION("IMPORTRANGE(""https://docs.google.com/spreadsheets/d/11923uPwbBZFjjGgGUA6NLw09EwE0CqkOc4q9oUmW1yo/edit?usp=sharing"",""พะเยา!M496"")"),0)</f>
        <v>0</v>
      </c>
      <c r="O601" s="178">
        <f t="shared" ca="1" si="126"/>
        <v>0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IFERROR(__xludf.DUMMYFUNCTION("IMPORTRANGE(""https://docs.google.com/spreadsheets/d/11923uPwbBZFjjGgGUA6NLw09EwE0CqkOc4q9oUmW1yo/edit?usp=sharing"",""พะเยา!M497"")"),0)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IFERROR(__xludf.DUMMYFUNCTION("IMPORTRANGE(""https://docs.google.com/spreadsheets/d/11923uPwbBZFjjGgGUA6NLw09EwE0CqkOc4q9oUmW1yo/edit?usp=sharing"",""พะเยา!M498"")"),0)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IFERROR(__xludf.DUMMYFUNCTION("IMPORTRANGE(""https://docs.google.com/spreadsheets/d/11923uPwbBZFjjGgGUA6NLw09EwE0CqkOc4q9oUmW1yo/edit?usp=sharing"",""พะเยา!M499"")"),0)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IFERROR(__xludf.DUMMYFUNCTION("IMPORTRANGE(""https://docs.google.com/spreadsheets/d/11923uPwbBZFjjGgGUA6NLw09EwE0CqkOc4q9oUmW1yo/edit?usp=sharing"",""พะเยา!M500"")"),0)</f>
        <v>0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IFERROR(__xludf.DUMMYFUNCTION("IMPORTRANGE(""https://docs.google.com/spreadsheets/d/11923uPwbBZFjjGgGUA6NLw09EwE0CqkOc4q9oUmW1yo/edit?usp=sharing"",""พะเยา!J502"")"),0)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IFERROR(__xludf.DUMMYFUNCTION("IMPORTRANGE(""https://docs.google.com/spreadsheets/d/11923uPwbBZFjjGgGUA6NLw09EwE0CqkOc4q9oUmW1yo/edit?usp=sharing"",""พะเยา!J503"")"),1)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IFERROR(__xludf.DUMMYFUNCTION("IMPORTRANGE(""https://docs.google.com/spreadsheets/d/11923uPwbBZFjjGgGUA6NLw09EwE0CqkOc4q9oUmW1yo/edit?usp=sharing"",""พะเยา!J166"")"),0)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IFERROR(__xludf.DUMMYFUNCTION("IMPORTRANGE(""https://docs.google.com/spreadsheets/d/11923uPwbBZFjjGgGUA6NLw09EwE0CqkOc4q9oUmW1yo/edit?usp=sharing"",""พะเยา!J166"")"),0)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IFERROR(__xludf.DUMMYFUNCTION("IMPORTRANGE(""https://docs.google.com/spreadsheets/d/11923uPwbBZFjjGgGUA6NLw09EwE0CqkOc4q9oUmW1yo/edit?usp=sharing"",""พะเยา!I506"")"),150)</f>
        <v>150</v>
      </c>
      <c r="J611" s="170">
        <f ca="1">IFERROR(__xludf.DUMMYFUNCTION("IMPORTRANGE(""https://docs.google.com/spreadsheets/d/11923uPwbBZFjjGgGUA6NLw09EwE0CqkOc4q9oUmW1yo/edit?usp=sharing"",""พะเยา!J506"")"),0)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IFERROR(__xludf.DUMMYFUNCTION("IMPORTRANGE(""https://docs.google.com/spreadsheets/d/11923uPwbBZFjjGgGUA6NLw09EwE0CqkOc4q9oUmW1yo/edit?usp=sharing"",""พะเยา!I507"")"),0)</f>
        <v>0</v>
      </c>
      <c r="J612" s="207">
        <f ca="1">IFERROR(__xludf.DUMMYFUNCTION("IMPORTRANGE(""https://docs.google.com/spreadsheets/d/11923uPwbBZFjjGgGUA6NLw09EwE0CqkOc4q9oUmW1yo/edit?usp=sharing"",""พะเยา!J507"")"),0)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IFERROR(__xludf.DUMMYFUNCTION("IMPORTRANGE(""https://docs.google.com/spreadsheets/d/11923uPwbBZFjjGgGUA6NLw09EwE0CqkOc4q9oUmW1yo/edit?usp=sharing"",""พะเยา!I508"")"),0)</f>
        <v>0</v>
      </c>
      <c r="J613" s="207">
        <f ca="1">IFERROR(__xludf.DUMMYFUNCTION("IMPORTRANGE(""https://docs.google.com/spreadsheets/d/11923uPwbBZFjjGgGUA6NLw09EwE0CqkOc4q9oUmW1yo/edit?usp=sharing"",""พะเยา!J508"")"),0)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IFERROR(__xludf.DUMMYFUNCTION("IMPORTRANGE(""https://docs.google.com/spreadsheets/d/11923uPwbBZFjjGgGUA6NLw09EwE0CqkOc4q9oUmW1yo/edit?usp=sharing"",""พะเยา!I509"")"),0)</f>
        <v>0</v>
      </c>
      <c r="J614" s="207">
        <f ca="1">IFERROR(__xludf.DUMMYFUNCTION("IMPORTRANGE(""https://docs.google.com/spreadsheets/d/11923uPwbBZFjjGgGUA6NLw09EwE0CqkOc4q9oUmW1yo/edit?usp=sharing"",""พะเยา!J509"")"),0)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IFERROR(__xludf.DUMMYFUNCTION("IMPORTRANGE(""https://docs.google.com/spreadsheets/d/11923uPwbBZFjjGgGUA6NLw09EwE0CqkOc4q9oUmW1yo/edit?usp=sharing"",""พะเยา!I510"")"),0)</f>
        <v>0</v>
      </c>
      <c r="J615" s="207">
        <f ca="1">IFERROR(__xludf.DUMMYFUNCTION("IMPORTRANGE(""https://docs.google.com/spreadsheets/d/11923uPwbBZFjjGgGUA6NLw09EwE0CqkOc4q9oUmW1yo/edit?usp=sharing"",""พะเยา!J510"")"),0)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IFERROR(__xludf.DUMMYFUNCTION("IMPORTRANGE(""https://docs.google.com/spreadsheets/d/11923uPwbBZFjjGgGUA6NLw09EwE0CqkOc4q9oUmW1yo/edit?usp=sharing"",""พะเยา!I511"")"),0)</f>
        <v>0</v>
      </c>
      <c r="J616" s="207">
        <f ca="1">IFERROR(__xludf.DUMMYFUNCTION("IMPORTRANGE(""https://docs.google.com/spreadsheets/d/11923uPwbBZFjjGgGUA6NLw09EwE0CqkOc4q9oUmW1yo/edit?usp=sharing"",""พะเยา!J511"")"),0)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IFERROR(__xludf.DUMMYFUNCTION("IMPORTRANGE(""https://docs.google.com/spreadsheets/d/11923uPwbBZFjjGgGUA6NLw09EwE0CqkOc4q9oUmW1yo/edit?usp=sharing"",""พะเยา!I512"")"),0)</f>
        <v>0</v>
      </c>
      <c r="J617" s="197">
        <f ca="1">IFERROR(__xludf.DUMMYFUNCTION("IMPORTRANGE(""https://docs.google.com/spreadsheets/d/11923uPwbBZFjjGgGUA6NLw09EwE0CqkOc4q9oUmW1yo/edit?usp=sharing"",""พะเยา!J512"")"),0)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IFERROR(__xludf.DUMMYFUNCTION("IMPORTRANGE(""https://docs.google.com/spreadsheets/d/11923uPwbBZFjjGgGUA6NLw09EwE0CqkOc4q9oUmW1yo/edit?usp=sharing"",""พะเยา!I513"")"),0)</f>
        <v>0</v>
      </c>
      <c r="J618" s="198">
        <f ca="1">IFERROR(__xludf.DUMMYFUNCTION("IMPORTRANGE(""https://docs.google.com/spreadsheets/d/11923uPwbBZFjjGgGUA6NLw09EwE0CqkOc4q9oUmW1yo/edit?usp=sharing"",""พะเยา!J513"")"),0)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IFERROR(__xludf.DUMMYFUNCTION("IMPORTRANGE(""https://docs.google.com/spreadsheets/d/11923uPwbBZFjjGgGUA6NLw09EwE0CqkOc4q9oUmW1yo/edit?usp=sharing"",""พะเยา!I514"")"),0)</f>
        <v>0</v>
      </c>
      <c r="J619" s="198">
        <f ca="1">IFERROR(__xludf.DUMMYFUNCTION("IMPORTRANGE(""https://docs.google.com/spreadsheets/d/11923uPwbBZFjjGgGUA6NLw09EwE0CqkOc4q9oUmW1yo/edit?usp=sharing"",""พะเยา!J514"")"),0)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IFERROR(__xludf.DUMMYFUNCTION("IMPORTRANGE(""https://docs.google.com/spreadsheets/d/11923uPwbBZFjjGgGUA6NLw09EwE0CqkOc4q9oUmW1yo/edit?usp=sharing"",""พะเยา!I515"")"),0)</f>
        <v>0</v>
      </c>
      <c r="J620" s="212">
        <f ca="1">IFERROR(__xludf.DUMMYFUNCTION("IMPORTRANGE(""https://docs.google.com/spreadsheets/d/11923uPwbBZFjjGgGUA6NLw09EwE0CqkOc4q9oUmW1yo/edit?usp=sharing"",""พะเยา!J515"")"),0)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IFERROR(__xludf.DUMMYFUNCTION("IMPORTRANGE(""https://docs.google.com/spreadsheets/d/11923uPwbBZFjjGgGUA6NLw09EwE0CqkOc4q9oUmW1yo/edit?usp=sharing"",""พะเยา!I516"")"),0)</f>
        <v>0</v>
      </c>
      <c r="J621" s="212">
        <f ca="1">IFERROR(__xludf.DUMMYFUNCTION("IMPORTRANGE(""https://docs.google.com/spreadsheets/d/11923uPwbBZFjjGgGUA6NLw09EwE0CqkOc4q9oUmW1yo/edit?usp=sharing"",""พะเยา!J516"")"),0)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IFERROR(__xludf.DUMMYFUNCTION("IMPORTRANGE(""https://docs.google.com/spreadsheets/d/11923uPwbBZFjjGgGUA6NLw09EwE0CqkOc4q9oUmW1yo/edit?usp=sharing"",""พะเยา!I517"")"),0)</f>
        <v>0</v>
      </c>
      <c r="J622" s="198">
        <f ca="1">IFERROR(__xludf.DUMMYFUNCTION("IMPORTRANGE(""https://docs.google.com/spreadsheets/d/11923uPwbBZFjjGgGUA6NLw09EwE0CqkOc4q9oUmW1yo/edit?usp=sharing"",""พะเยา!J517"")"),0)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IFERROR(__xludf.DUMMYFUNCTION("IMPORTRANGE(""https://docs.google.com/spreadsheets/d/11923uPwbBZFjjGgGUA6NLw09EwE0CqkOc4q9oUmW1yo/edit?usp=sharing"",""พะเยา!I518"")"),0)</f>
        <v>0</v>
      </c>
      <c r="J623" s="198">
        <f ca="1">IFERROR(__xludf.DUMMYFUNCTION("IMPORTRANGE(""https://docs.google.com/spreadsheets/d/11923uPwbBZFjjGgGUA6NLw09EwE0CqkOc4q9oUmW1yo/edit?usp=sharing"",""พะเยา!J518"")"),0)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IFERROR(__xludf.DUMMYFUNCTION("IMPORTRANGE(""https://docs.google.com/spreadsheets/d/11923uPwbBZFjjGgGUA6NLw09EwE0CqkOc4q9oUmW1yo/edit?usp=sharing"",""พะเยา!I519"")"),0)</f>
        <v>0</v>
      </c>
      <c r="J624" s="197">
        <f ca="1">IFERROR(__xludf.DUMMYFUNCTION("IMPORTRANGE(""https://docs.google.com/spreadsheets/d/11923uPwbBZFjjGgGUA6NLw09EwE0CqkOc4q9oUmW1yo/edit?usp=sharing"",""พะเยา!J519"")"),0)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IFERROR(__xludf.DUMMYFUNCTION("IMPORTRANGE(""https://docs.google.com/spreadsheets/d/11923uPwbBZFjjGgGUA6NLw09EwE0CqkOc4q9oUmW1yo/edit?usp=sharing"",""พะเยา!I520"")"),0)</f>
        <v>0</v>
      </c>
      <c r="J625" s="198">
        <f ca="1">IFERROR(__xludf.DUMMYFUNCTION("IMPORTRANGE(""https://docs.google.com/spreadsheets/d/11923uPwbBZFjjGgGUA6NLw09EwE0CqkOc4q9oUmW1yo/edit?usp=sharing"",""พะเยา!J520"")"),0)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IFERROR(__xludf.DUMMYFUNCTION("IMPORTRANGE(""https://docs.google.com/spreadsheets/d/11923uPwbBZFjjGgGUA6NLw09EwE0CqkOc4q9oUmW1yo/edit?usp=sharing"",""พะเยา!I521"")"),0)</f>
        <v>0</v>
      </c>
      <c r="J626" s="198">
        <f ca="1">IFERROR(__xludf.DUMMYFUNCTION("IMPORTRANGE(""https://docs.google.com/spreadsheets/d/11923uPwbBZFjjGgGUA6NLw09EwE0CqkOc4q9oUmW1yo/edit?usp=sharing"",""พะเยา!J521"")"),0)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IFERROR(__xludf.DUMMYFUNCTION("IMPORTRANGE(""https://docs.google.com/spreadsheets/d/11923uPwbBZFjjGgGUA6NLw09EwE0CqkOc4q9oUmW1yo/edit?usp=sharing"",""พะเยา!I523"")"),4799661.59)</f>
        <v>4799661.59</v>
      </c>
      <c r="J628" s="349">
        <f ca="1">IFERROR(__xludf.DUMMYFUNCTION("IMPORTRANGE(""https://docs.google.com/spreadsheets/d/11923uPwbBZFjjGgGUA6NLw09EwE0CqkOc4q9oUmW1yo/edit?usp=sharing"",""พะเยา!J523"")"),589472.45)</f>
        <v>589472.44999999995</v>
      </c>
      <c r="K628" s="350">
        <f t="shared" ref="K628:K635" ca="1" si="129">IF(I628&gt;0,J628*100/I628,0)</f>
        <v>12.281541915958286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IFERROR(__xludf.DUMMYFUNCTION("IMPORTRANGE(""https://docs.google.com/spreadsheets/d/11923uPwbBZFjjGgGUA6NLw09EwE0CqkOc4q9oUmW1yo/edit?usp=sharing"",""พะเยา!I524"")"),454)</f>
        <v>454</v>
      </c>
      <c r="J629" s="349">
        <f ca="1">IFERROR(__xludf.DUMMYFUNCTION("IMPORTRANGE(""https://docs.google.com/spreadsheets/d/11923uPwbBZFjjGgGUA6NLw09EwE0CqkOc4q9oUmW1yo/edit?usp=sharing"",""พะเยา!J524"")"),62)</f>
        <v>62</v>
      </c>
      <c r="K629" s="350">
        <f t="shared" ca="1" si="129"/>
        <v>13.656387665198238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49">
        <f ca="1">IFERROR(__xludf.DUMMYFUNCTION("IMPORTRANGE(""https://docs.google.com/spreadsheets/d/11923uPwbBZFjjGgGUA6NLw09EwE0CqkOc4q9oUmW1yo/edit?usp=sharing"",""พะเยา!J525"")"),237111.4)</f>
        <v>237111.4</v>
      </c>
      <c r="K630" s="350">
        <f t="shared" ca="1" si="129"/>
        <v>2.3901577274934249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IFERROR(__xludf.DUMMYFUNCTION("IMPORTRANGE(""https://docs.google.com/spreadsheets/d/11923uPwbBZFjjGgGUA6NLw09EwE0CqkOc4q9oUmW1yo/edit?usp=sharing"",""พะเยา!I526"")"),332)</f>
        <v>332</v>
      </c>
      <c r="J631" s="349">
        <f ca="1">IFERROR(__xludf.DUMMYFUNCTION("IMPORTRANGE(""https://docs.google.com/spreadsheets/d/11923uPwbBZFjjGgGUA6NLw09EwE0CqkOc4q9oUmW1yo/edit?usp=sharing"",""พะเยา!J526"")"),63)</f>
        <v>63</v>
      </c>
      <c r="K631" s="350">
        <f t="shared" ca="1" si="129"/>
        <v>18.975903614457831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IFERROR(__xludf.DUMMYFUNCTION("IMPORTRANGE(""https://docs.google.com/spreadsheets/d/11923uPwbBZFjjGgGUA6NLw09EwE0CqkOc4q9oUmW1yo/edit?usp=sharing"",""พะเยา!I527"")"),61819.65)</f>
        <v>61819.65</v>
      </c>
      <c r="J632" s="349">
        <f ca="1">IFERROR(__xludf.DUMMYFUNCTION("IMPORTRANGE(""https://docs.google.com/spreadsheets/d/11923uPwbBZFjjGgGUA6NLw09EwE0CqkOc4q9oUmW1yo/edit?usp=sharing"",""พะเยา!J527"")"),0)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IFERROR(__xludf.DUMMYFUNCTION("IMPORTRANGE(""https://docs.google.com/spreadsheets/d/11923uPwbBZFjjGgGUA6NLw09EwE0CqkOc4q9oUmW1yo/edit?usp=sharing"",""พะเยา!I528"")"),107)</f>
        <v>107</v>
      </c>
      <c r="J633" s="349">
        <f ca="1">IFERROR(__xludf.DUMMYFUNCTION("IMPORTRANGE(""https://docs.google.com/spreadsheets/d/11923uPwbBZFjjGgGUA6NLw09EwE0CqkOc4q9oUmW1yo/edit?usp=sharing"",""พะเยา!J528"")"),0)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IFERROR(__xludf.DUMMYFUNCTION("IMPORTRANGE(""https://docs.google.com/spreadsheets/d/11923uPwbBZFjjGgGUA6NLw09EwE0CqkOc4q9oUmW1yo/edit?usp=sharing"",""พะเยา!I529"")"),6000000)</f>
        <v>6000000</v>
      </c>
      <c r="J634" s="349">
        <f ca="1">IFERROR(__xludf.DUMMYFUNCTION("IMPORTRANGE(""https://docs.google.com/spreadsheets/d/11923uPwbBZFjjGgGUA6NLw09EwE0CqkOc4q9oUmW1yo/edit?usp=sharing"",""พะเยา!J529"")"),0)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IFERROR(__xludf.DUMMYFUNCTION("IMPORTRANGE(""https://docs.google.com/spreadsheets/d/11923uPwbBZFjjGgGUA6NLw09EwE0CqkOc4q9oUmW1yo/edit?usp=sharing"",""พะเยา!I530"")"),120)</f>
        <v>120</v>
      </c>
      <c r="J635" s="519">
        <f ca="1">IFERROR(__xludf.DUMMYFUNCTION("IMPORTRANGE(""https://docs.google.com/spreadsheets/d/11923uPwbBZFjjGgGUA6NLw09EwE0CqkOc4q9oUmW1yo/edit?usp=sharing"",""พะเยา!J530"")"),0)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9" sqref="J9"/>
      <selection pane="bottomLeft" activeCell="J17" sqref="J17"/>
    </sheetView>
  </sheetViews>
  <sheetFormatPr defaultColWidth="12.58203125" defaultRowHeight="15" customHeight="1" x14ac:dyDescent="0.3"/>
  <cols>
    <col min="1" max="3" width="2.75" customWidth="1"/>
    <col min="4" max="6" width="5" customWidth="1"/>
    <col min="7" max="7" width="70.83203125" customWidth="1"/>
    <col min="8" max="8" width="9.5" customWidth="1"/>
    <col min="9" max="10" width="13.83203125" customWidth="1"/>
    <col min="11" max="11" width="8.83203125" customWidth="1"/>
    <col min="12" max="13" width="17.582031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3">
      <c r="A2" s="528" t="s">
        <v>252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3">
      <c r="A3" s="528" t="s">
        <v>272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3">
      <c r="A5" s="537" t="s">
        <v>2</v>
      </c>
      <c r="B5" s="538"/>
      <c r="C5" s="538"/>
      <c r="D5" s="538"/>
      <c r="E5" s="538"/>
      <c r="F5" s="538"/>
      <c r="G5" s="539"/>
      <c r="H5" s="530" t="s">
        <v>3</v>
      </c>
      <c r="I5" s="532" t="s">
        <v>4</v>
      </c>
      <c r="J5" s="533"/>
      <c r="K5" s="534"/>
      <c r="L5" s="535" t="s">
        <v>5</v>
      </c>
      <c r="M5" s="534"/>
      <c r="N5" s="536" t="s">
        <v>6</v>
      </c>
      <c r="O5" s="533"/>
      <c r="P5" s="534"/>
    </row>
    <row r="6" spans="1:16" ht="21.75" customHeight="1" x14ac:dyDescent="0.3">
      <c r="A6" s="540"/>
      <c r="B6" s="541"/>
      <c r="C6" s="541"/>
      <c r="D6" s="541"/>
      <c r="E6" s="541"/>
      <c r="F6" s="541"/>
      <c r="G6" s="542"/>
      <c r="H6" s="531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45">
      <c r="A7" s="543" t="s">
        <v>15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45">
      <c r="A8" s="19"/>
      <c r="B8" s="20"/>
      <c r="C8" s="21" t="s">
        <v>16</v>
      </c>
      <c r="D8" s="544" t="s">
        <v>17</v>
      </c>
      <c r="E8" s="545"/>
      <c r="F8" s="545"/>
      <c r="G8" s="545"/>
      <c r="H8" s="22" t="s">
        <v>12</v>
      </c>
      <c r="I8" s="23"/>
      <c r="J8" s="23"/>
      <c r="K8" s="24"/>
      <c r="L8" s="25">
        <f t="shared" ref="L8:N8" ca="1" si="0">L9+L10</f>
        <v>4592912</v>
      </c>
      <c r="M8" s="25">
        <f t="shared" ca="1" si="0"/>
        <v>1320955</v>
      </c>
      <c r="N8" s="25">
        <f t="shared" ca="1" si="0"/>
        <v>1218567.33</v>
      </c>
      <c r="O8" s="24">
        <f t="shared" ref="O8:O16" ca="1" si="1">IF(L8&gt;0,N8*100/L8,0)</f>
        <v>26.531475673820879</v>
      </c>
      <c r="P8" s="24">
        <f t="shared" ref="P8:P16" ca="1" si="2">IF(M8&gt;0,N8*100/M8,0)</f>
        <v>92.248966088928086</v>
      </c>
    </row>
    <row r="9" spans="1:16" ht="21.75" customHeight="1" x14ac:dyDescent="0.45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45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4592912</v>
      </c>
      <c r="M10" s="32">
        <f t="shared" ca="1" si="4"/>
        <v>1320955</v>
      </c>
      <c r="N10" s="32">
        <f t="shared" ca="1" si="4"/>
        <v>1218567.33</v>
      </c>
      <c r="O10" s="31">
        <f t="shared" ca="1" si="1"/>
        <v>26.531475673820879</v>
      </c>
      <c r="P10" s="31">
        <f t="shared" ca="1" si="2"/>
        <v>92.248966088928086</v>
      </c>
    </row>
    <row r="11" spans="1:16" ht="21.75" customHeight="1" x14ac:dyDescent="0.45">
      <c r="A11" s="33"/>
      <c r="B11" s="34"/>
      <c r="C11" s="35" t="s">
        <v>16</v>
      </c>
      <c r="D11" s="546" t="s">
        <v>20</v>
      </c>
      <c r="E11" s="547"/>
      <c r="F11" s="547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45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4517312</v>
      </c>
      <c r="M12" s="40">
        <f t="shared" ca="1" si="6"/>
        <v>1320955</v>
      </c>
      <c r="N12" s="40">
        <f t="shared" ca="1" si="6"/>
        <v>1142967.33</v>
      </c>
      <c r="O12" s="40">
        <f t="shared" ca="1" si="1"/>
        <v>25.30193464609042</v>
      </c>
      <c r="P12" s="40">
        <f t="shared" ca="1" si="2"/>
        <v>86.525833961035772</v>
      </c>
    </row>
    <row r="13" spans="1:16" ht="21.75" customHeight="1" x14ac:dyDescent="0.45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2124700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45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2392612</v>
      </c>
      <c r="M14" s="40">
        <f t="shared" si="8"/>
        <v>0</v>
      </c>
      <c r="N14" s="40">
        <f t="shared" ca="1" si="8"/>
        <v>260508.33000000002</v>
      </c>
      <c r="O14" s="43">
        <f t="shared" ca="1" si="1"/>
        <v>10.888030737955004</v>
      </c>
      <c r="P14" s="43">
        <f t="shared" si="2"/>
        <v>0</v>
      </c>
    </row>
    <row r="15" spans="1:16" ht="21.75" customHeight="1" x14ac:dyDescent="0.45">
      <c r="A15" s="33"/>
      <c r="B15" s="34"/>
      <c r="C15" s="35" t="s">
        <v>16</v>
      </c>
      <c r="D15" s="546" t="s">
        <v>23</v>
      </c>
      <c r="E15" s="547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45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75600</v>
      </c>
      <c r="M16" s="40">
        <f t="shared" si="10"/>
        <v>0</v>
      </c>
      <c r="N16" s="40">
        <f t="shared" ca="1" si="10"/>
        <v>75600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45">
      <c r="A17" s="543" t="s">
        <v>24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45">
      <c r="A18" s="19"/>
      <c r="B18" s="20"/>
      <c r="C18" s="21" t="s">
        <v>16</v>
      </c>
      <c r="D18" s="544" t="s">
        <v>17</v>
      </c>
      <c r="E18" s="545"/>
      <c r="F18" s="545"/>
      <c r="G18" s="545"/>
      <c r="H18" s="22" t="s">
        <v>12</v>
      </c>
      <c r="I18" s="23"/>
      <c r="J18" s="23"/>
      <c r="K18" s="24"/>
      <c r="L18" s="25">
        <f t="shared" ref="L18:N18" ca="1" si="11">L19+L20</f>
        <v>2603065</v>
      </c>
      <c r="M18" s="25">
        <f t="shared" ca="1" si="11"/>
        <v>1320955</v>
      </c>
      <c r="N18" s="25">
        <f t="shared" ca="1" si="11"/>
        <v>958059</v>
      </c>
      <c r="O18" s="24">
        <f t="shared" ref="O18:O20" ca="1" si="12">IF(L18&gt;0,N18*100/L18,0)</f>
        <v>36.805035602261178</v>
      </c>
      <c r="P18" s="24">
        <f t="shared" ref="P18:P26" ca="1" si="13">IF(M18&gt;0,N18*100/M18,0)</f>
        <v>72.527754541222066</v>
      </c>
    </row>
    <row r="19" spans="1:16" ht="21.75" customHeight="1" x14ac:dyDescent="0.45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45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2603065</v>
      </c>
      <c r="M20" s="32">
        <f t="shared" ca="1" si="15"/>
        <v>1320955</v>
      </c>
      <c r="N20" s="32">
        <f t="shared" ca="1" si="15"/>
        <v>958059</v>
      </c>
      <c r="O20" s="31">
        <f t="shared" ca="1" si="12"/>
        <v>36.805035602261178</v>
      </c>
      <c r="P20" s="31">
        <f t="shared" ca="1" si="13"/>
        <v>72.527754541222066</v>
      </c>
    </row>
    <row r="21" spans="1:16" ht="21.75" customHeight="1" x14ac:dyDescent="0.45">
      <c r="A21" s="33"/>
      <c r="B21" s="34"/>
      <c r="C21" s="35" t="s">
        <v>16</v>
      </c>
      <c r="D21" s="546" t="s">
        <v>20</v>
      </c>
      <c r="E21" s="547"/>
      <c r="F21" s="547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45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2527465</v>
      </c>
      <c r="M22" s="44">
        <f t="shared" ca="1" si="18"/>
        <v>1320955</v>
      </c>
      <c r="N22" s="43">
        <f t="shared" ca="1" si="18"/>
        <v>882459</v>
      </c>
      <c r="O22" s="43">
        <f t="shared" ca="1" si="17"/>
        <v>34.914786159254433</v>
      </c>
      <c r="P22" s="43">
        <f t="shared" ca="1" si="13"/>
        <v>66.804622413329753</v>
      </c>
    </row>
    <row r="23" spans="1:16" ht="21.75" customHeight="1" x14ac:dyDescent="0.45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2124700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45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402765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45">
      <c r="A25" s="33"/>
      <c r="B25" s="34"/>
      <c r="C25" s="35" t="s">
        <v>16</v>
      </c>
      <c r="D25" s="546" t="s">
        <v>23</v>
      </c>
      <c r="E25" s="547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45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75600</v>
      </c>
      <c r="M26" s="52">
        <f t="shared" si="22"/>
        <v>0</v>
      </c>
      <c r="N26" s="52">
        <f t="shared" ca="1" si="22"/>
        <v>75600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45">
      <c r="A27" s="543" t="s">
        <v>25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45">
      <c r="A28" s="19"/>
      <c r="B28" s="20"/>
      <c r="C28" s="21" t="s">
        <v>16</v>
      </c>
      <c r="D28" s="544" t="s">
        <v>17</v>
      </c>
      <c r="E28" s="545"/>
      <c r="F28" s="545"/>
      <c r="G28" s="545"/>
      <c r="H28" s="22" t="s">
        <v>12</v>
      </c>
      <c r="I28" s="23"/>
      <c r="J28" s="23"/>
      <c r="K28" s="24"/>
      <c r="L28" s="25">
        <f t="shared" ref="L28:N28" ca="1" si="23">L29+L30</f>
        <v>1989847</v>
      </c>
      <c r="M28" s="25">
        <f t="shared" si="23"/>
        <v>0</v>
      </c>
      <c r="N28" s="25">
        <f t="shared" ca="1" si="23"/>
        <v>260508.33000000002</v>
      </c>
      <c r="O28" s="24">
        <f t="shared" ref="O28:O30" ca="1" si="24">IF(L28&gt;0,N28*100/L28,0)</f>
        <v>13.091877415700806</v>
      </c>
      <c r="P28" s="24">
        <f t="shared" ref="P28:P37" si="25">IF(M28&gt;0,N28*100/M28,0)</f>
        <v>0</v>
      </c>
    </row>
    <row r="29" spans="1:16" ht="21.75" customHeight="1" x14ac:dyDescent="0.45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45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1989847</v>
      </c>
      <c r="M30" s="32">
        <f t="shared" si="27"/>
        <v>0</v>
      </c>
      <c r="N30" s="32">
        <f t="shared" ca="1" si="27"/>
        <v>260508.33000000002</v>
      </c>
      <c r="O30" s="31">
        <f t="shared" ca="1" si="24"/>
        <v>13.091877415700806</v>
      </c>
      <c r="P30" s="31">
        <f t="shared" si="25"/>
        <v>0</v>
      </c>
    </row>
    <row r="31" spans="1:16" ht="21.75" customHeight="1" x14ac:dyDescent="0.45">
      <c r="A31" s="33"/>
      <c r="B31" s="34"/>
      <c r="C31" s="35" t="s">
        <v>16</v>
      </c>
      <c r="D31" s="546" t="s">
        <v>20</v>
      </c>
      <c r="E31" s="547"/>
      <c r="F31" s="547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45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1989847</v>
      </c>
      <c r="M32" s="43">
        <f t="shared" si="30"/>
        <v>0</v>
      </c>
      <c r="N32" s="43">
        <f t="shared" ca="1" si="30"/>
        <v>260508.33000000002</v>
      </c>
      <c r="O32" s="43">
        <f t="shared" ca="1" si="29"/>
        <v>13.091877415700806</v>
      </c>
      <c r="P32" s="43">
        <f t="shared" si="25"/>
        <v>0</v>
      </c>
    </row>
    <row r="33" spans="1:16" ht="21.75" customHeight="1" x14ac:dyDescent="0.45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45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1989847</v>
      </c>
      <c r="M34" s="43">
        <f t="shared" si="32"/>
        <v>0</v>
      </c>
      <c r="N34" s="43">
        <f t="shared" ca="1" si="32"/>
        <v>260508.33000000002</v>
      </c>
      <c r="O34" s="43">
        <f t="shared" ca="1" si="29"/>
        <v>13.091877415700806</v>
      </c>
      <c r="P34" s="43">
        <f t="shared" si="25"/>
        <v>0</v>
      </c>
    </row>
    <row r="35" spans="1:16" ht="21.75" customHeight="1" x14ac:dyDescent="0.45">
      <c r="A35" s="33"/>
      <c r="B35" s="34"/>
      <c r="C35" s="35" t="s">
        <v>16</v>
      </c>
      <c r="D35" s="546" t="s">
        <v>23</v>
      </c>
      <c r="E35" s="547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45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3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2603065</v>
      </c>
      <c r="M37" s="57">
        <f t="shared" ca="1" si="33"/>
        <v>1320955</v>
      </c>
      <c r="N37" s="57">
        <f t="shared" ca="1" si="33"/>
        <v>958059</v>
      </c>
      <c r="O37" s="58">
        <f t="shared" ca="1" si="29"/>
        <v>36.805035602261178</v>
      </c>
      <c r="P37" s="58">
        <f t="shared" ca="1" si="25"/>
        <v>72.527754541222066</v>
      </c>
    </row>
    <row r="38" spans="1:16" ht="21.75" customHeight="1" x14ac:dyDescent="0.45">
      <c r="A38" s="548" t="s">
        <v>27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45">
      <c r="A39" s="63"/>
      <c r="B39" s="549" t="s">
        <v>28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45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45">
      <c r="A41" s="75"/>
      <c r="B41" s="76"/>
      <c r="C41" s="77" t="s">
        <v>16</v>
      </c>
      <c r="D41" s="550" t="s">
        <v>17</v>
      </c>
      <c r="E41" s="547"/>
      <c r="F41" s="547"/>
      <c r="G41" s="547"/>
      <c r="H41" s="78" t="s">
        <v>12</v>
      </c>
      <c r="I41" s="79"/>
      <c r="J41" s="79"/>
      <c r="K41" s="80"/>
      <c r="L41" s="81">
        <f t="shared" ref="L41:N41" ca="1" si="34">L42+L43</f>
        <v>658100</v>
      </c>
      <c r="M41" s="81">
        <f t="shared" ca="1" si="34"/>
        <v>329100</v>
      </c>
      <c r="N41" s="81">
        <f t="shared" ca="1" si="34"/>
        <v>252321</v>
      </c>
      <c r="O41" s="80">
        <f t="shared" ref="O41:O43" ca="1" si="35">IF(L41&gt;0,N41*100/L41,0)</f>
        <v>38.340829661145726</v>
      </c>
      <c r="P41" s="80">
        <f t="shared" ref="P41:P43" ca="1" si="36">IF(M41&gt;0,N41*100/M41,0)</f>
        <v>76.670009115770284</v>
      </c>
    </row>
    <row r="42" spans="1:16" ht="21.75" customHeight="1" x14ac:dyDescent="0.45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45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658100</v>
      </c>
      <c r="M43" s="81">
        <f t="shared" ca="1" si="38"/>
        <v>329100</v>
      </c>
      <c r="N43" s="81">
        <f t="shared" ca="1" si="38"/>
        <v>252321</v>
      </c>
      <c r="O43" s="80">
        <f t="shared" ca="1" si="35"/>
        <v>38.340829661145726</v>
      </c>
      <c r="P43" s="80">
        <f t="shared" ca="1" si="36"/>
        <v>76.670009115770284</v>
      </c>
    </row>
    <row r="44" spans="1:16" ht="21.75" customHeight="1" x14ac:dyDescent="0.45">
      <c r="A44" s="82"/>
      <c r="B44" s="83"/>
      <c r="C44" s="84" t="s">
        <v>16</v>
      </c>
      <c r="D44" s="551" t="s">
        <v>20</v>
      </c>
      <c r="E44" s="547"/>
      <c r="F44" s="547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45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658100</v>
      </c>
      <c r="M45" s="93">
        <f ca="1">IFERROR(__xludf.DUMMYFUNCTION("IMPORTRANGE(""https://docs.google.com/spreadsheets/d/1Yj_ptqi66GCucihVvJfMjLAmec39IyEx_6qawtMGysU/edit?usp=sharing"",""สบก!Q27"")"),329100)</f>
        <v>329100</v>
      </c>
      <c r="N45" s="93">
        <f ca="1">IFERROR(__xludf.DUMMYFUNCTION("IMPORTRANGE(""https://docs.google.com/spreadsheets/d/1Yj_ptqi66GCucihVvJfMjLAmec39IyEx_6qawtMGysU/edit?usp=sharing"",""สบก!R27"")"),252321)</f>
        <v>252321</v>
      </c>
      <c r="O45" s="94">
        <f ca="1">IF(L45&gt;0,N45*100/L45,0)</f>
        <v>38.340829661145726</v>
      </c>
      <c r="P45" s="94">
        <f ca="1">IF(M45&gt;0,N45*100/M45,0)</f>
        <v>76.670009115770284</v>
      </c>
    </row>
    <row r="46" spans="1:16" ht="21.75" customHeight="1" x14ac:dyDescent="0.45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IFERROR(__xludf.DUMMYFUNCTION("IMPORTRANGE(""https://docs.google.com/spreadsheets/d/1Yj_ptqi66GCucihVvJfMjLAmec39IyEx_6qawtMGysU/edit?usp=sharing"",""สบก!M27"")"),658100)</f>
        <v>658100</v>
      </c>
      <c r="M46" s="95"/>
      <c r="N46" s="43"/>
      <c r="O46" s="94"/>
      <c r="P46" s="94"/>
    </row>
    <row r="47" spans="1:16" ht="21.75" customHeight="1" x14ac:dyDescent="0.45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IFERROR(__xludf.DUMMYFUNCTION("IMPORTRANGE(""https://docs.google.com/spreadsheets/d/1Yj_ptqi66GCucihVvJfMjLAmec39IyEx_6qawtMGysU/edit?usp=sharing"",""สบก!N27"")"),0)</f>
        <v>0</v>
      </c>
      <c r="M47" s="95"/>
      <c r="N47" s="43"/>
      <c r="O47" s="94"/>
      <c r="P47" s="94"/>
    </row>
    <row r="48" spans="1:16" ht="21.75" customHeight="1" x14ac:dyDescent="0.45">
      <c r="A48" s="82"/>
      <c r="B48" s="83"/>
      <c r="C48" s="84" t="s">
        <v>16</v>
      </c>
      <c r="D48" s="551" t="s">
        <v>23</v>
      </c>
      <c r="E48" s="547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45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IFERROR(__xludf.DUMMYFUNCTION("IMPORTRANGE(""https://docs.google.com/spreadsheets/d/1Yj_ptqi66GCucihVvJfMjLAmec39IyEx_6qawtMGysU/edit?usp=sharing"",""สบก!O27"")"),0)</f>
        <v>0</v>
      </c>
      <c r="M49" s="103"/>
      <c r="N49" s="93">
        <f ca="1">IFERROR(__xludf.DUMMYFUNCTION("IMPORTRANGE(""https://docs.google.com/spreadsheets/d/1Yj_ptqi66GCucihVvJfMjLAmec39IyEx_6qawtMGysU/edit?usp=sharing"",""สบก!S27"")"),0)</f>
        <v>0</v>
      </c>
      <c r="O49" s="103">
        <f ca="1">IF(L49&gt;0,N49*100/L49,0)</f>
        <v>0</v>
      </c>
      <c r="P49" s="103"/>
    </row>
    <row r="50" spans="1:16" ht="21.75" customHeight="1" x14ac:dyDescent="0.45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45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45">
      <c r="A52" s="116"/>
      <c r="B52" s="552" t="s">
        <v>32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45">
      <c r="A53" s="121"/>
      <c r="B53" s="122"/>
      <c r="C53" s="123" t="s">
        <v>16</v>
      </c>
      <c r="D53" s="553" t="s">
        <v>17</v>
      </c>
      <c r="E53" s="547"/>
      <c r="F53" s="547"/>
      <c r="G53" s="547"/>
      <c r="H53" s="124" t="s">
        <v>12</v>
      </c>
      <c r="I53" s="125"/>
      <c r="J53" s="125"/>
      <c r="K53" s="126"/>
      <c r="L53" s="127">
        <f t="shared" ref="L53:N53" ca="1" si="39">L54+L55</f>
        <v>612000</v>
      </c>
      <c r="M53" s="127">
        <f t="shared" ca="1" si="39"/>
        <v>319500</v>
      </c>
      <c r="N53" s="127">
        <f t="shared" ca="1" si="39"/>
        <v>227116</v>
      </c>
      <c r="O53" s="126">
        <f t="shared" ref="O53:O55" ca="1" si="40">IF(L53&gt;0,N53*100/L53,0)</f>
        <v>37.110457516339871</v>
      </c>
      <c r="P53" s="126">
        <f t="shared" ref="P53:P55" ca="1" si="41">IF(M53&gt;0,N53*100/M53,0)</f>
        <v>71.084820031298904</v>
      </c>
    </row>
    <row r="54" spans="1:16" ht="21.75" customHeight="1" x14ac:dyDescent="0.45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45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612000</v>
      </c>
      <c r="M55" s="127">
        <f t="shared" ca="1" si="43"/>
        <v>319500</v>
      </c>
      <c r="N55" s="127">
        <f t="shared" ca="1" si="43"/>
        <v>227116</v>
      </c>
      <c r="O55" s="126">
        <f t="shared" ca="1" si="40"/>
        <v>37.110457516339871</v>
      </c>
      <c r="P55" s="126">
        <f t="shared" ca="1" si="41"/>
        <v>71.084820031298904</v>
      </c>
    </row>
    <row r="56" spans="1:16" ht="21.75" customHeight="1" x14ac:dyDescent="0.45">
      <c r="A56" s="82"/>
      <c r="B56" s="83"/>
      <c r="C56" s="84" t="s">
        <v>16</v>
      </c>
      <c r="D56" s="551" t="s">
        <v>20</v>
      </c>
      <c r="E56" s="547"/>
      <c r="F56" s="547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45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612000</v>
      </c>
      <c r="M57" s="93">
        <f ca="1">IFERROR(__xludf.DUMMYFUNCTION("IMPORTRANGE(""https://docs.google.com/spreadsheets/d/1Yj_ptqi66GCucihVvJfMjLAmec39IyEx_6qawtMGysU/edit?usp=sharing"",""สบก!Z27"")"),319500)</f>
        <v>319500</v>
      </c>
      <c r="N57" s="93">
        <f ca="1">IFERROR(__xludf.DUMMYFUNCTION("IMPORTRANGE(""https://docs.google.com/spreadsheets/d/1Yj_ptqi66GCucihVvJfMjLAmec39IyEx_6qawtMGysU/edit?usp=sharing"",""สบก!AA27"")"),227116)</f>
        <v>227116</v>
      </c>
      <c r="O57" s="94">
        <f ca="1">IF(L57&gt;0,N57*100/L57,0)</f>
        <v>37.110457516339871</v>
      </c>
      <c r="P57" s="94">
        <f ca="1">IF(M57&gt;0,N57*100/M57,0)</f>
        <v>71.084820031298904</v>
      </c>
    </row>
    <row r="58" spans="1:16" ht="21.75" customHeight="1" x14ac:dyDescent="0.45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IFERROR(__xludf.DUMMYFUNCTION("IMPORTRANGE(""https://docs.google.com/spreadsheets/d/1Yj_ptqi66GCucihVvJfMjLAmec39IyEx_6qawtMGysU/edit?usp=sharing"",""สบก!V27"")"),612000)</f>
        <v>612000</v>
      </c>
      <c r="M58" s="95"/>
      <c r="N58" s="43"/>
      <c r="O58" s="94"/>
      <c r="P58" s="94"/>
    </row>
    <row r="59" spans="1:16" ht="21.75" customHeight="1" x14ac:dyDescent="0.45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IFERROR(__xludf.DUMMYFUNCTION("IMPORTRANGE(""https://docs.google.com/spreadsheets/d/1Yj_ptqi66GCucihVvJfMjLAmec39IyEx_6qawtMGysU/edit?usp=sharing"",""สบก!W27"")"),0)</f>
        <v>0</v>
      </c>
      <c r="M59" s="95"/>
      <c r="N59" s="43"/>
      <c r="O59" s="94"/>
      <c r="P59" s="94"/>
    </row>
    <row r="60" spans="1:16" ht="21.75" customHeight="1" x14ac:dyDescent="0.45">
      <c r="A60" s="82"/>
      <c r="B60" s="83"/>
      <c r="C60" s="84" t="s">
        <v>16</v>
      </c>
      <c r="D60" s="551" t="s">
        <v>23</v>
      </c>
      <c r="E60" s="547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45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IFERROR(__xludf.DUMMYFUNCTION("IMPORTRANGE(""https://docs.google.com/spreadsheets/d/1Yj_ptqi66GCucihVvJfMjLAmec39IyEx_6qawtMGysU/edit?usp=sharing"",""สบก!X27"")"),0)</f>
        <v>0</v>
      </c>
      <c r="M61" s="103"/>
      <c r="N61" s="93">
        <f ca="1">IFERROR(__xludf.DUMMYFUNCTION("IMPORTRANGE(""https://docs.google.com/spreadsheets/d/1Yj_ptqi66GCucihVvJfMjLAmec39IyEx_6qawtMGysU/edit?usp=sharing"",""สบก!AB27"")"),0)</f>
        <v>0</v>
      </c>
      <c r="O61" s="103">
        <f ca="1">IF(L61&gt;0,N61*100/L61,0)</f>
        <v>0</v>
      </c>
      <c r="P61" s="103"/>
    </row>
    <row r="62" spans="1:16" ht="21.75" customHeight="1" x14ac:dyDescent="0.3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3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3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IFERROR(__xludf.DUMMYFUNCTION("IMPORTRANGE(""https://docs.google.com/spreadsheets/d/11923uPwbBZFjjGgGUA6NLw09EwE0CqkOc4q9oUmW1yo/edit?usp=sharing"",""พิจิตร!I9"")"),0)</f>
        <v>0</v>
      </c>
      <c r="J64" s="148">
        <f ca="1">IFERROR(__xludf.DUMMYFUNCTION("IMPORTRANGE(""https://docs.google.com/spreadsheets/d/11923uPwbBZFjjGgGUA6NLw09EwE0CqkOc4q9oUmW1yo/edit?usp=sharing"",""พิจิตร!J9"")"),0)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3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IFERROR(__xludf.DUMMYFUNCTION("IMPORTRANGE(""https://docs.google.com/spreadsheets/d/11923uPwbBZFjjGgGUA6NLw09EwE0CqkOc4q9oUmW1yo/edit?usp=sharing"",""พิจิตร!I10"")"),0)</f>
        <v>0</v>
      </c>
      <c r="J65" s="148">
        <f ca="1">IFERROR(__xludf.DUMMYFUNCTION("IMPORTRANGE(""https://docs.google.com/spreadsheets/d/11923uPwbBZFjjGgGUA6NLw09EwE0CqkOc4q9oUmW1yo/edit?usp=sharing"",""พิจิตร!J10"")"),0)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45">
      <c r="A66" s="152"/>
      <c r="B66" s="153"/>
      <c r="C66" s="154" t="s">
        <v>16</v>
      </c>
      <c r="D66" s="554" t="s">
        <v>17</v>
      </c>
      <c r="E66" s="545"/>
      <c r="F66" s="545"/>
      <c r="G66" s="545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45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45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3">
      <c r="A69" s="164"/>
      <c r="B69" s="165"/>
      <c r="C69" s="165" t="s">
        <v>16</v>
      </c>
      <c r="D69" s="166" t="s">
        <v>38</v>
      </c>
      <c r="E69" s="167"/>
      <c r="F69" s="167"/>
      <c r="G69" s="168" t="s">
        <v>39</v>
      </c>
      <c r="H69" s="169" t="s">
        <v>12</v>
      </c>
      <c r="I69" s="170" t="s">
        <v>40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3">
      <c r="A70" s="164"/>
      <c r="B70" s="165"/>
      <c r="C70" s="165"/>
      <c r="D70" s="174"/>
      <c r="E70" s="167"/>
      <c r="F70" s="167" t="s">
        <v>40</v>
      </c>
      <c r="G70" s="168" t="s">
        <v>41</v>
      </c>
      <c r="H70" s="169" t="s">
        <v>12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IFERROR(__xludf.DUMMYFUNCTION("IMPORTRANGE(""https://docs.google.com/spreadsheets/d/1Yj_ptqi66GCucihVvJfMjLAmec39IyEx_6qawtMGysU/edit?usp=sharing"",""สบก!AI27"")"),0)</f>
        <v>0</v>
      </c>
      <c r="N70" s="177">
        <f ca="1">IFERROR(__xludf.DUMMYFUNCTION("IMPORTRANGE(""https://docs.google.com/spreadsheets/d/1Yj_ptqi66GCucihVvJfMjLAmec39IyEx_6qawtMGysU/edit?usp=sharing"",""สบก!AJ27"")"),0)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3">
      <c r="A71" s="164"/>
      <c r="B71" s="165"/>
      <c r="C71" s="165"/>
      <c r="D71" s="174"/>
      <c r="E71" s="167"/>
      <c r="F71" s="167"/>
      <c r="G71" s="179" t="s">
        <v>42</v>
      </c>
      <c r="H71" s="169" t="s">
        <v>12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IFERROR(__xludf.DUMMYFUNCTION("IMPORTRANGE(""https://docs.google.com/spreadsheets/d/1Yj_ptqi66GCucihVvJfMjLAmec39IyEx_6qawtMGysU/edit?usp=sharing"",""สบก!AE27"")"),0)</f>
        <v>0</v>
      </c>
      <c r="M71" s="175"/>
      <c r="N71" s="175"/>
      <c r="O71" s="178"/>
      <c r="P71" s="178"/>
    </row>
    <row r="72" spans="1:16" ht="21.75" customHeight="1" x14ac:dyDescent="0.3">
      <c r="A72" s="164"/>
      <c r="B72" s="165"/>
      <c r="C72" s="165"/>
      <c r="D72" s="174"/>
      <c r="E72" s="167"/>
      <c r="F72" s="167"/>
      <c r="G72" s="179" t="s">
        <v>43</v>
      </c>
      <c r="H72" s="169" t="s">
        <v>12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IFERROR(__xludf.DUMMYFUNCTION("IMPORTRANGE(""https://docs.google.com/spreadsheets/d/1Yj_ptqi66GCucihVvJfMjLAmec39IyEx_6qawtMGysU/edit?usp=sharing"",""สบก!AF27"")"),0)</f>
        <v>0</v>
      </c>
      <c r="M72" s="175"/>
      <c r="N72" s="175"/>
      <c r="O72" s="178"/>
      <c r="P72" s="178"/>
    </row>
    <row r="73" spans="1:16" ht="21.75" customHeight="1" x14ac:dyDescent="0.45">
      <c r="A73" s="180"/>
      <c r="B73" s="83"/>
      <c r="C73" s="84" t="s">
        <v>16</v>
      </c>
      <c r="D73" s="551" t="s">
        <v>23</v>
      </c>
      <c r="E73" s="547"/>
      <c r="F73" s="91"/>
      <c r="G73" s="85" t="s">
        <v>18</v>
      </c>
      <c r="H73" s="181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45">
      <c r="A74" s="182"/>
      <c r="B74" s="97"/>
      <c r="C74" s="97"/>
      <c r="D74" s="183"/>
      <c r="E74" s="98"/>
      <c r="F74" s="98"/>
      <c r="G74" s="99" t="s">
        <v>19</v>
      </c>
      <c r="H74" s="184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IFERROR(__xludf.DUMMYFUNCTION("IMPORTRANGE(""https://docs.google.com/spreadsheets/d/1Yj_ptqi66GCucihVvJfMjLAmec39IyEx_6qawtMGysU/edit?usp=sharing"",""สบก!AG27"")"),0)</f>
        <v>0</v>
      </c>
      <c r="M74" s="103"/>
      <c r="N74" s="93">
        <f ca="1">IFERROR(__xludf.DUMMYFUNCTION("IMPORTRANGE(""https://docs.google.com/spreadsheets/d/1Yj_ptqi66GCucihVvJfMjLAmec39IyEx_6qawtMGysU/edit?usp=sharing"",""สบก!AK27"")"),0)</f>
        <v>0</v>
      </c>
      <c r="O74" s="103">
        <f ca="1">IF(L74&gt;0,N74*100/L74,0)</f>
        <v>0</v>
      </c>
      <c r="P74" s="103"/>
    </row>
    <row r="75" spans="1:16" ht="21.75" customHeight="1" x14ac:dyDescent="0.3">
      <c r="A75" s="185"/>
      <c r="B75" s="186"/>
      <c r="C75" s="165" t="s">
        <v>16</v>
      </c>
      <c r="D75" s="187" t="s">
        <v>44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3">
      <c r="A76" s="185"/>
      <c r="B76" s="186"/>
      <c r="C76" s="186"/>
      <c r="D76" s="192">
        <v>1</v>
      </c>
      <c r="E76" s="193" t="s">
        <v>45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IFERROR(__xludf.DUMMYFUNCTION("IMPORTRANGE(""https://docs.google.com/spreadsheets/d/11923uPwbBZFjjGgGUA6NLw09EwE0CqkOc4q9oUmW1yo/edit?usp=sharing"",""พิจิตร!J16"")"),0)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3">
      <c r="A77" s="185"/>
      <c r="B77" s="186"/>
      <c r="C77" s="186"/>
      <c r="D77" s="199">
        <v>2</v>
      </c>
      <c r="E77" s="200" t="s">
        <v>46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IFERROR(__xludf.DUMMYFUNCTION("IMPORTRANGE(""https://docs.google.com/spreadsheets/d/11923uPwbBZFjjGgGUA6NLw09EwE0CqkOc4q9oUmW1yo/edit?usp=sharing"",""พิจิตร!J17"")"),0)</f>
        <v>0</v>
      </c>
      <c r="K77" s="171"/>
      <c r="L77" s="191" t="s">
        <v>40</v>
      </c>
      <c r="M77" s="191"/>
      <c r="N77" s="191" t="s">
        <v>40</v>
      </c>
      <c r="O77" s="191"/>
      <c r="P77" s="191"/>
    </row>
    <row r="78" spans="1:16" ht="21.75" customHeight="1" x14ac:dyDescent="0.3">
      <c r="A78" s="185"/>
      <c r="B78" s="186"/>
      <c r="C78" s="186"/>
      <c r="D78" s="203"/>
      <c r="E78" s="204" t="s">
        <v>47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IFERROR(__xludf.DUMMYFUNCTION("IMPORTRANGE(""https://docs.google.com/spreadsheets/d/11923uPwbBZFjjGgGUA6NLw09EwE0CqkOc4q9oUmW1yo/edit?usp=sharing"",""พิจิตร!J18"")"),0)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3">
      <c r="A79" s="185"/>
      <c r="B79" s="186"/>
      <c r="C79" s="186"/>
      <c r="D79" s="203"/>
      <c r="E79" s="204" t="s">
        <v>48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IFERROR(__xludf.DUMMYFUNCTION("IMPORTRANGE(""https://docs.google.com/spreadsheets/d/11923uPwbBZFjjGgGUA6NLw09EwE0CqkOc4q9oUmW1yo/edit?usp=sharing"",""พิจิตร!J19"")"),0)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3">
      <c r="A80" s="185"/>
      <c r="B80" s="186"/>
      <c r="C80" s="186"/>
      <c r="D80" s="203"/>
      <c r="E80" s="208"/>
      <c r="F80" s="204" t="s">
        <v>49</v>
      </c>
      <c r="G80" s="205"/>
      <c r="H80" s="209" t="s">
        <v>36</v>
      </c>
      <c r="I80" s="210">
        <f ca="1">IFERROR(__xludf.DUMMYFUNCTION("IMPORTRANGE(""https://docs.google.com/spreadsheets/d/11923uPwbBZFjjGgGUA6NLw09EwE0CqkOc4q9oUmW1yo/edit?usp=sharing"",""พิจิตร!I20"")"),0)</f>
        <v>0</v>
      </c>
      <c r="J80" s="210">
        <f ca="1">IFERROR(__xludf.DUMMYFUNCTION("IMPORTRANGE(""https://docs.google.com/spreadsheets/d/11923uPwbBZFjjGgGUA6NLw09EwE0CqkOc4q9oUmW1yo/edit?usp=sharing"",""พิจิตร!J20"")"),0)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3">
      <c r="A81" s="185"/>
      <c r="B81" s="186"/>
      <c r="C81" s="186"/>
      <c r="D81" s="203"/>
      <c r="E81" s="208"/>
      <c r="F81" s="205"/>
      <c r="G81" s="206"/>
      <c r="H81" s="209" t="s">
        <v>37</v>
      </c>
      <c r="I81" s="210">
        <f ca="1">IFERROR(__xludf.DUMMYFUNCTION("IMPORTRANGE(""https://docs.google.com/spreadsheets/d/11923uPwbBZFjjGgGUA6NLw09EwE0CqkOc4q9oUmW1yo/edit?usp=sharing"",""พิจิตร!I21"")"),0)</f>
        <v>0</v>
      </c>
      <c r="J81" s="210">
        <f ca="1">IFERROR(__xludf.DUMMYFUNCTION("IMPORTRANGE(""https://docs.google.com/spreadsheets/d/11923uPwbBZFjjGgGUA6NLw09EwE0CqkOc4q9oUmW1yo/edit?usp=sharing"",""พิจิตร!J21"")"),0)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3">
      <c r="A82" s="185"/>
      <c r="B82" s="186"/>
      <c r="C82" s="186"/>
      <c r="D82" s="203"/>
      <c r="E82" s="208"/>
      <c r="F82" s="205"/>
      <c r="G82" s="205" t="s">
        <v>50</v>
      </c>
      <c r="H82" s="190" t="s">
        <v>36</v>
      </c>
      <c r="I82" s="212">
        <f ca="1">IFERROR(__xludf.DUMMYFUNCTION("IMPORTRANGE(""https://docs.google.com/spreadsheets/d/11923uPwbBZFjjGgGUA6NLw09EwE0CqkOc4q9oUmW1yo/edit?usp=sharing"",""พิจิตร!I22"")"),0)</f>
        <v>0</v>
      </c>
      <c r="J82" s="213">
        <f ca="1">IFERROR(__xludf.DUMMYFUNCTION("IMPORTRANGE(""https://docs.google.com/spreadsheets/d/11923uPwbBZFjjGgGUA6NLw09EwE0CqkOc4q9oUmW1yo/edit?usp=sharing"",""พิจิตร!J22"")"),0)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3">
      <c r="A83" s="185"/>
      <c r="B83" s="186"/>
      <c r="C83" s="186"/>
      <c r="D83" s="203"/>
      <c r="E83" s="208"/>
      <c r="F83" s="205"/>
      <c r="G83" s="206"/>
      <c r="H83" s="190" t="s">
        <v>37</v>
      </c>
      <c r="I83" s="212">
        <f ca="1">IFERROR(__xludf.DUMMYFUNCTION("IMPORTRANGE(""https://docs.google.com/spreadsheets/d/11923uPwbBZFjjGgGUA6NLw09EwE0CqkOc4q9oUmW1yo/edit?usp=sharing"",""พิจิตร!I23"")"),0)</f>
        <v>0</v>
      </c>
      <c r="J83" s="213">
        <f ca="1">IFERROR(__xludf.DUMMYFUNCTION("IMPORTRANGE(""https://docs.google.com/spreadsheets/d/11923uPwbBZFjjGgGUA6NLw09EwE0CqkOc4q9oUmW1yo/edit?usp=sharing"",""พิจิตร!J23"")"),0)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3">
      <c r="A84" s="185"/>
      <c r="B84" s="186"/>
      <c r="C84" s="186"/>
      <c r="D84" s="203"/>
      <c r="E84" s="208"/>
      <c r="F84" s="205"/>
      <c r="G84" s="205" t="s">
        <v>51</v>
      </c>
      <c r="H84" s="190" t="s">
        <v>36</v>
      </c>
      <c r="I84" s="212">
        <f ca="1">IFERROR(__xludf.DUMMYFUNCTION("IMPORTRANGE(""https://docs.google.com/spreadsheets/d/11923uPwbBZFjjGgGUA6NLw09EwE0CqkOc4q9oUmW1yo/edit?usp=sharing"",""พิจิตร!I24"")"),0)</f>
        <v>0</v>
      </c>
      <c r="J84" s="198">
        <f ca="1">IFERROR(__xludf.DUMMYFUNCTION("IMPORTRANGE(""https://docs.google.com/spreadsheets/d/11923uPwbBZFjjGgGUA6NLw09EwE0CqkOc4q9oUmW1yo/edit?usp=sharing"",""พิจิตร!J24"")"),0)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3">
      <c r="A85" s="185"/>
      <c r="B85" s="186"/>
      <c r="C85" s="186"/>
      <c r="D85" s="203"/>
      <c r="E85" s="208"/>
      <c r="F85" s="205"/>
      <c r="G85" s="206"/>
      <c r="H85" s="190" t="s">
        <v>37</v>
      </c>
      <c r="I85" s="212">
        <f ca="1">IFERROR(__xludf.DUMMYFUNCTION("IMPORTRANGE(""https://docs.google.com/spreadsheets/d/11923uPwbBZFjjGgGUA6NLw09EwE0CqkOc4q9oUmW1yo/edit?usp=sharing"",""พิจิตร!I25"")"),0)</f>
        <v>0</v>
      </c>
      <c r="J85" s="198">
        <f ca="1">IFERROR(__xludf.DUMMYFUNCTION("IMPORTRANGE(""https://docs.google.com/spreadsheets/d/11923uPwbBZFjjGgGUA6NLw09EwE0CqkOc4q9oUmW1yo/edit?usp=sharing"",""พิจิตร!J25"")"),0)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3">
      <c r="A86" s="185"/>
      <c r="B86" s="186"/>
      <c r="C86" s="186"/>
      <c r="D86" s="203"/>
      <c r="E86" s="208"/>
      <c r="F86" s="205"/>
      <c r="G86" s="205" t="s">
        <v>52</v>
      </c>
      <c r="H86" s="190" t="s">
        <v>36</v>
      </c>
      <c r="I86" s="212">
        <f ca="1">IFERROR(__xludf.DUMMYFUNCTION("IMPORTRANGE(""https://docs.google.com/spreadsheets/d/11923uPwbBZFjjGgGUA6NLw09EwE0CqkOc4q9oUmW1yo/edit?usp=sharing"",""พิจิตร!I26"")"),0)</f>
        <v>0</v>
      </c>
      <c r="J86" s="213">
        <f ca="1">IFERROR(__xludf.DUMMYFUNCTION("IMPORTRANGE(""https://docs.google.com/spreadsheets/d/11923uPwbBZFjjGgGUA6NLw09EwE0CqkOc4q9oUmW1yo/edit?usp=sharing"",""พิจิตร!J26"")"),0)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3">
      <c r="A87" s="185"/>
      <c r="B87" s="186"/>
      <c r="C87" s="186"/>
      <c r="D87" s="203"/>
      <c r="E87" s="208"/>
      <c r="F87" s="205"/>
      <c r="G87" s="206"/>
      <c r="H87" s="190" t="s">
        <v>37</v>
      </c>
      <c r="I87" s="212">
        <f ca="1">IFERROR(__xludf.DUMMYFUNCTION("IMPORTRANGE(""https://docs.google.com/spreadsheets/d/11923uPwbBZFjjGgGUA6NLw09EwE0CqkOc4q9oUmW1yo/edit?usp=sharing"",""พิจิตร!I27"")"),0)</f>
        <v>0</v>
      </c>
      <c r="J87" s="213">
        <f ca="1">IFERROR(__xludf.DUMMYFUNCTION("IMPORTRANGE(""https://docs.google.com/spreadsheets/d/11923uPwbBZFjjGgGUA6NLw09EwE0CqkOc4q9oUmW1yo/edit?usp=sharing"",""พิจิตร!J27"")"),0)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3">
      <c r="A88" s="185"/>
      <c r="B88" s="186"/>
      <c r="C88" s="186"/>
      <c r="D88" s="203"/>
      <c r="E88" s="208"/>
      <c r="F88" s="214" t="s">
        <v>53</v>
      </c>
      <c r="G88" s="205"/>
      <c r="H88" s="190" t="s">
        <v>37</v>
      </c>
      <c r="I88" s="212">
        <f ca="1">IFERROR(__xludf.DUMMYFUNCTION("IMPORTRANGE(""https://docs.google.com/spreadsheets/d/11923uPwbBZFjjGgGUA6NLw09EwE0CqkOc4q9oUmW1yo/edit?usp=sharing"",""พิจิตร!I28"")"),0)</f>
        <v>0</v>
      </c>
      <c r="J88" s="213">
        <f ca="1">IFERROR(__xludf.DUMMYFUNCTION("IMPORTRANGE(""https://docs.google.com/spreadsheets/d/11923uPwbBZFjjGgGUA6NLw09EwE0CqkOc4q9oUmW1yo/edit?usp=sharing"",""พิจิตร!J28"")"),0)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3">
      <c r="A89" s="185"/>
      <c r="B89" s="186"/>
      <c r="C89" s="186"/>
      <c r="D89" s="203"/>
      <c r="E89" s="204" t="s">
        <v>54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IFERROR(__xludf.DUMMYFUNCTION("IMPORTRANGE(""https://docs.google.com/spreadsheets/d/11923uPwbBZFjjGgGUA6NLw09EwE0CqkOc4q9oUmW1yo/edit?usp=sharing"",""พิจิตร!J29"")"),0)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3">
      <c r="A90" s="185"/>
      <c r="B90" s="186"/>
      <c r="C90" s="186"/>
      <c r="D90" s="215">
        <v>3</v>
      </c>
      <c r="E90" s="216" t="s">
        <v>55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IFERROR(__xludf.DUMMYFUNCTION("IMPORTRANGE(""https://docs.google.com/spreadsheets/d/11923uPwbBZFjjGgGUA6NLw09EwE0CqkOc4q9oUmW1yo/edit?usp=sharing"",""พิจิตร!J30"")"),0)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3">
      <c r="A91" s="220" t="s">
        <v>56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3">
      <c r="A92" s="144"/>
      <c r="B92" s="145" t="s">
        <v>57</v>
      </c>
      <c r="C92" s="145"/>
      <c r="D92" s="146"/>
      <c r="E92" s="145"/>
      <c r="F92" s="145"/>
      <c r="G92" s="230"/>
      <c r="H92" s="147" t="s">
        <v>37</v>
      </c>
      <c r="I92" s="148">
        <f ca="1">IFERROR(__xludf.DUMMYFUNCTION("IMPORTRANGE(""https://docs.google.com/spreadsheets/d/11923uPwbBZFjjGgGUA6NLw09EwE0CqkOc4q9oUmW1yo/edit?usp=sharing"",""พิจิตร!I32"")"),0)</f>
        <v>0</v>
      </c>
      <c r="J92" s="148">
        <f ca="1">IFERROR(__xludf.DUMMYFUNCTION("IMPORTRANGE(""https://docs.google.com/spreadsheets/d/11923uPwbBZFjjGgGUA6NLw09EwE0CqkOc4q9oUmW1yo/edit?usp=sharing"",""พิจิตร!J32"")"),0)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3">
      <c r="A93" s="144"/>
      <c r="B93" s="145"/>
      <c r="C93" s="145"/>
      <c r="D93" s="146" t="s">
        <v>58</v>
      </c>
      <c r="E93" s="145"/>
      <c r="F93" s="145"/>
      <c r="G93" s="230"/>
      <c r="H93" s="147" t="s">
        <v>59</v>
      </c>
      <c r="I93" s="148">
        <f ca="1">IFERROR(__xludf.DUMMYFUNCTION("IMPORTRANGE(""https://docs.google.com/spreadsheets/d/11923uPwbBZFjjGgGUA6NLw09EwE0CqkOc4q9oUmW1yo/edit?usp=sharing"",""พิจิตร!I33"")"),0)</f>
        <v>0</v>
      </c>
      <c r="J93" s="148">
        <f ca="1">IFERROR(__xludf.DUMMYFUNCTION("IMPORTRANGE(""https://docs.google.com/spreadsheets/d/11923uPwbBZFjjGgGUA6NLw09EwE0CqkOc4q9oUmW1yo/edit?usp=sharing"",""พิจิตร!J33"")"),0)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45">
      <c r="A94" s="152"/>
      <c r="B94" s="153"/>
      <c r="C94" s="154" t="s">
        <v>16</v>
      </c>
      <c r="D94" s="554" t="s">
        <v>17</v>
      </c>
      <c r="E94" s="545"/>
      <c r="F94" s="545"/>
      <c r="G94" s="545"/>
      <c r="H94" s="155" t="s">
        <v>12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45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45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3">
      <c r="A97" s="164"/>
      <c r="B97" s="165"/>
      <c r="C97" s="165" t="s">
        <v>16</v>
      </c>
      <c r="D97" s="166" t="s">
        <v>38</v>
      </c>
      <c r="E97" s="167"/>
      <c r="F97" s="167"/>
      <c r="G97" s="168" t="s">
        <v>39</v>
      </c>
      <c r="H97" s="169" t="s">
        <v>12</v>
      </c>
      <c r="I97" s="170" t="s">
        <v>40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3">
      <c r="A98" s="164"/>
      <c r="B98" s="165"/>
      <c r="C98" s="165"/>
      <c r="D98" s="174"/>
      <c r="E98" s="167"/>
      <c r="F98" s="167" t="s">
        <v>40</v>
      </c>
      <c r="G98" s="168" t="s">
        <v>41</v>
      </c>
      <c r="H98" s="169" t="s">
        <v>12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IFERROR(__xludf.DUMMYFUNCTION("IMPORTRANGE(""https://docs.google.com/spreadsheets/d/1Yj_ptqi66GCucihVvJfMjLAmec39IyEx_6qawtMGysU/edit?usp=sharing"",""สบก!AR27"")"),0)</f>
        <v>0</v>
      </c>
      <c r="N98" s="177">
        <f ca="1">IFERROR(__xludf.DUMMYFUNCTION("IMPORTRANGE(""https://docs.google.com/spreadsheets/d/1Yj_ptqi66GCucihVvJfMjLAmec39IyEx_6qawtMGysU/edit?usp=sharing"",""สบก!AS27"")"),0)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3">
      <c r="A99" s="164"/>
      <c r="B99" s="165"/>
      <c r="C99" s="165"/>
      <c r="D99" s="174"/>
      <c r="E99" s="167"/>
      <c r="F99" s="167"/>
      <c r="G99" s="179" t="s">
        <v>42</v>
      </c>
      <c r="H99" s="169" t="s">
        <v>12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IFERROR(__xludf.DUMMYFUNCTION("IMPORTRANGE(""https://docs.google.com/spreadsheets/d/1Yj_ptqi66GCucihVvJfMjLAmec39IyEx_6qawtMGysU/edit?usp=sharing"",""สบก!AN27"")"),0)</f>
        <v>0</v>
      </c>
      <c r="M99" s="175"/>
      <c r="N99" s="175"/>
      <c r="O99" s="178"/>
      <c r="P99" s="178"/>
    </row>
    <row r="100" spans="1:16" ht="21.75" customHeight="1" x14ac:dyDescent="0.3">
      <c r="A100" s="164"/>
      <c r="B100" s="165"/>
      <c r="C100" s="165"/>
      <c r="D100" s="174"/>
      <c r="E100" s="167"/>
      <c r="F100" s="167"/>
      <c r="G100" s="179" t="s">
        <v>43</v>
      </c>
      <c r="H100" s="169" t="s">
        <v>12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IFERROR(__xludf.DUMMYFUNCTION("IMPORTRANGE(""https://docs.google.com/spreadsheets/d/1Yj_ptqi66GCucihVvJfMjLAmec39IyEx_6qawtMGysU/edit?usp=sharing"",""สบก!AO27"")"),0)</f>
        <v>0</v>
      </c>
      <c r="M100" s="175"/>
      <c r="N100" s="175"/>
      <c r="O100" s="178"/>
      <c r="P100" s="178"/>
    </row>
    <row r="101" spans="1:16" ht="21.75" customHeight="1" x14ac:dyDescent="0.45">
      <c r="A101" s="180"/>
      <c r="B101" s="83"/>
      <c r="C101" s="84" t="s">
        <v>16</v>
      </c>
      <c r="D101" s="551" t="s">
        <v>23</v>
      </c>
      <c r="E101" s="547"/>
      <c r="F101" s="91"/>
      <c r="G101" s="85" t="s">
        <v>18</v>
      </c>
      <c r="H101" s="181" t="s">
        <v>12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45">
      <c r="A102" s="182"/>
      <c r="B102" s="97"/>
      <c r="C102" s="97"/>
      <c r="D102" s="183"/>
      <c r="E102" s="98"/>
      <c r="F102" s="98"/>
      <c r="G102" s="99" t="s">
        <v>19</v>
      </c>
      <c r="H102" s="184" t="s">
        <v>12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IFERROR(__xludf.DUMMYFUNCTION("IMPORTRANGE(""https://docs.google.com/spreadsheets/d/1Yj_ptqi66GCucihVvJfMjLAmec39IyEx_6qawtMGysU/edit?usp=sharing"",""สบก!AP27"")"),0)</f>
        <v>0</v>
      </c>
      <c r="M102" s="103"/>
      <c r="N102" s="93">
        <f ca="1">IFERROR(__xludf.DUMMYFUNCTION("IMPORTRANGE(""https://docs.google.com/spreadsheets/d/1Yj_ptqi66GCucihVvJfMjLAmec39IyEx_6qawtMGysU/edit?usp=sharing"",""สบก!AT27"")"),0)</f>
        <v>0</v>
      </c>
      <c r="O102" s="103">
        <f ca="1">IF(L102&gt;0,N102*100/L102,0)</f>
        <v>0</v>
      </c>
      <c r="P102" s="103"/>
    </row>
    <row r="103" spans="1:16" ht="21.75" customHeight="1" x14ac:dyDescent="0.3">
      <c r="A103" s="185"/>
      <c r="B103" s="186"/>
      <c r="C103" s="165" t="s">
        <v>16</v>
      </c>
      <c r="D103" s="187" t="s">
        <v>44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3">
      <c r="A104" s="185"/>
      <c r="B104" s="186"/>
      <c r="C104" s="186"/>
      <c r="D104" s="192">
        <v>1</v>
      </c>
      <c r="E104" s="193" t="s">
        <v>45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IFERROR(__xludf.DUMMYFUNCTION("IMPORTRANGE(""https://docs.google.com/spreadsheets/d/11923uPwbBZFjjGgGUA6NLw09EwE0CqkOc4q9oUmW1yo/edit?usp=sharing"",""พิจิตร!J39"")"),0)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3">
      <c r="A105" s="185"/>
      <c r="B105" s="186"/>
      <c r="C105" s="186"/>
      <c r="D105" s="199">
        <v>2</v>
      </c>
      <c r="E105" s="200" t="s">
        <v>46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IFERROR(__xludf.DUMMYFUNCTION("IMPORTRANGE(""https://docs.google.com/spreadsheets/d/11923uPwbBZFjjGgGUA6NLw09EwE0CqkOc4q9oUmW1yo/edit?usp=sharing"",""พิจิตร!J40"")"),0)</f>
        <v>0</v>
      </c>
      <c r="K105" s="233"/>
      <c r="L105" s="178" t="s">
        <v>40</v>
      </c>
      <c r="M105" s="178"/>
      <c r="N105" s="178" t="s">
        <v>40</v>
      </c>
      <c r="O105" s="191"/>
      <c r="P105" s="191"/>
    </row>
    <row r="106" spans="1:16" ht="21.75" customHeight="1" x14ac:dyDescent="0.3">
      <c r="A106" s="185"/>
      <c r="B106" s="186"/>
      <c r="C106" s="186"/>
      <c r="D106" s="203"/>
      <c r="E106" s="204" t="s">
        <v>47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IFERROR(__xludf.DUMMYFUNCTION("IMPORTRANGE(""https://docs.google.com/spreadsheets/d/11923uPwbBZFjjGgGUA6NLw09EwE0CqkOc4q9oUmW1yo/edit?usp=sharing"",""พิจิตร!J41"")"),0)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3">
      <c r="A107" s="185"/>
      <c r="B107" s="186"/>
      <c r="C107" s="186"/>
      <c r="D107" s="203"/>
      <c r="E107" s="204" t="s">
        <v>48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IFERROR(__xludf.DUMMYFUNCTION("IMPORTRANGE(""https://docs.google.com/spreadsheets/d/11923uPwbBZFjjGgGUA6NLw09EwE0CqkOc4q9oUmW1yo/edit?usp=sharing"",""พิจิตร!J42"")"),0)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3">
      <c r="A108" s="185"/>
      <c r="B108" s="186"/>
      <c r="C108" s="186"/>
      <c r="D108" s="203"/>
      <c r="E108" s="205"/>
      <c r="F108" s="205" t="s">
        <v>60</v>
      </c>
      <c r="G108" s="205"/>
      <c r="H108" s="190" t="s">
        <v>61</v>
      </c>
      <c r="I108" s="212">
        <f ca="1">IFERROR(__xludf.DUMMYFUNCTION("IMPORTRANGE(""https://docs.google.com/spreadsheets/d/11923uPwbBZFjjGgGUA6NLw09EwE0CqkOc4q9oUmW1yo/edit?usp=sharing"",""พิจิตร!I43"")"),0)</f>
        <v>0</v>
      </c>
      <c r="J108" s="213">
        <f ca="1">IFERROR(__xludf.DUMMYFUNCTION("IMPORTRANGE(""https://docs.google.com/spreadsheets/d/11923uPwbBZFjjGgGUA6NLw09EwE0CqkOc4q9oUmW1yo/edit?usp=sharing"",""พิจิตร!J43"")"),0)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3">
      <c r="A109" s="185"/>
      <c r="B109" s="186"/>
      <c r="C109" s="186"/>
      <c r="D109" s="203"/>
      <c r="E109" s="208"/>
      <c r="F109" s="204" t="s">
        <v>62</v>
      </c>
      <c r="G109" s="205"/>
      <c r="H109" s="190" t="s">
        <v>37</v>
      </c>
      <c r="I109" s="212">
        <f ca="1">IFERROR(__xludf.DUMMYFUNCTION("IMPORTRANGE(""https://docs.google.com/spreadsheets/d/11923uPwbBZFjjGgGUA6NLw09EwE0CqkOc4q9oUmW1yo/edit?usp=sharing"",""พิจิตร!I44"")"),0)</f>
        <v>0</v>
      </c>
      <c r="J109" s="213">
        <f ca="1">IFERROR(__xludf.DUMMYFUNCTION("IMPORTRANGE(""https://docs.google.com/spreadsheets/d/11923uPwbBZFjjGgGUA6NLw09EwE0CqkOc4q9oUmW1yo/edit?usp=sharing"",""พิจิตร!J44"")"),0)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3">
      <c r="A110" s="185"/>
      <c r="B110" s="186"/>
      <c r="C110" s="186"/>
      <c r="D110" s="203"/>
      <c r="E110" s="208"/>
      <c r="F110" s="205"/>
      <c r="G110" s="234" t="s">
        <v>63</v>
      </c>
      <c r="H110" s="190" t="s">
        <v>37</v>
      </c>
      <c r="I110" s="212">
        <f ca="1">IFERROR(__xludf.DUMMYFUNCTION("IMPORTRANGE(""https://docs.google.com/spreadsheets/d/11923uPwbBZFjjGgGUA6NLw09EwE0CqkOc4q9oUmW1yo/edit?usp=sharing"",""พิจิตร!I45"")"),0)</f>
        <v>0</v>
      </c>
      <c r="J110" s="213">
        <f ca="1">IFERROR(__xludf.DUMMYFUNCTION("IMPORTRANGE(""https://docs.google.com/spreadsheets/d/11923uPwbBZFjjGgGUA6NLw09EwE0CqkOc4q9oUmW1yo/edit?usp=sharing"",""พิจิตร!J45"")"),0)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3">
      <c r="A111" s="185"/>
      <c r="B111" s="186"/>
      <c r="C111" s="186"/>
      <c r="D111" s="203"/>
      <c r="E111" s="208"/>
      <c r="F111" s="205"/>
      <c r="G111" s="234" t="s">
        <v>64</v>
      </c>
      <c r="H111" s="190" t="s">
        <v>37</v>
      </c>
      <c r="I111" s="212">
        <f ca="1">IFERROR(__xludf.DUMMYFUNCTION("IMPORTRANGE(""https://docs.google.com/spreadsheets/d/11923uPwbBZFjjGgGUA6NLw09EwE0CqkOc4q9oUmW1yo/edit?usp=sharing"",""พิจิตร!I46"")"),0)</f>
        <v>0</v>
      </c>
      <c r="J111" s="213">
        <f ca="1">IFERROR(__xludf.DUMMYFUNCTION("IMPORTRANGE(""https://docs.google.com/spreadsheets/d/11923uPwbBZFjjGgGUA6NLw09EwE0CqkOc4q9oUmW1yo/edit?usp=sharing"",""พิจิตร!J46"")"),0)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3">
      <c r="A112" s="185"/>
      <c r="B112" s="186"/>
      <c r="C112" s="186"/>
      <c r="D112" s="203"/>
      <c r="E112" s="208"/>
      <c r="F112" s="205"/>
      <c r="G112" s="235" t="s">
        <v>65</v>
      </c>
      <c r="H112" s="190" t="s">
        <v>37</v>
      </c>
      <c r="I112" s="212">
        <f ca="1">IFERROR(__xludf.DUMMYFUNCTION("IMPORTRANGE(""https://docs.google.com/spreadsheets/d/11923uPwbBZFjjGgGUA6NLw09EwE0CqkOc4q9oUmW1yo/edit?usp=sharing"",""พิจิตร!I47"")"),0)</f>
        <v>0</v>
      </c>
      <c r="J112" s="213">
        <f ca="1">IFERROR(__xludf.DUMMYFUNCTION("IMPORTRANGE(""https://docs.google.com/spreadsheets/d/11923uPwbBZFjjGgGUA6NLw09EwE0CqkOc4q9oUmW1yo/edit?usp=sharing"",""พิจิตร!J47"")"),0)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3">
      <c r="A113" s="185"/>
      <c r="B113" s="186"/>
      <c r="C113" s="186"/>
      <c r="D113" s="203"/>
      <c r="E113" s="208"/>
      <c r="F113" s="205" t="s">
        <v>66</v>
      </c>
      <c r="G113" s="205"/>
      <c r="H113" s="190" t="s">
        <v>59</v>
      </c>
      <c r="I113" s="212">
        <f ca="1">IFERROR(__xludf.DUMMYFUNCTION("IMPORTRANGE(""https://docs.google.com/spreadsheets/d/11923uPwbBZFjjGgGUA6NLw09EwE0CqkOc4q9oUmW1yo/edit?usp=sharing"",""พิจิตร!I48"")"),0)</f>
        <v>0</v>
      </c>
      <c r="J113" s="213">
        <f ca="1">IFERROR(__xludf.DUMMYFUNCTION("IMPORTRANGE(""https://docs.google.com/spreadsheets/d/11923uPwbBZFjjGgGUA6NLw09EwE0CqkOc4q9oUmW1yo/edit?usp=sharing"",""พิจิตร!J48"")"),0)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3">
      <c r="A114" s="185"/>
      <c r="B114" s="186"/>
      <c r="C114" s="186"/>
      <c r="D114" s="203"/>
      <c r="E114" s="204" t="s">
        <v>54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IFERROR(__xludf.DUMMYFUNCTION("IMPORTRANGE(""https://docs.google.com/spreadsheets/d/11923uPwbBZFjjGgGUA6NLw09EwE0CqkOc4q9oUmW1yo/edit?usp=sharing"",""พิจิตร!J49"")"),0)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3">
      <c r="A115" s="185"/>
      <c r="B115" s="186"/>
      <c r="C115" s="186"/>
      <c r="D115" s="215">
        <v>3</v>
      </c>
      <c r="E115" s="216" t="s">
        <v>55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IFERROR(__xludf.DUMMYFUNCTION("IMPORTRANGE(""https://docs.google.com/spreadsheets/d/11923uPwbBZFjjGgGUA6NLw09EwE0CqkOc4q9oUmW1yo/edit?usp=sharing"",""พิจิตร!J50"")"),0)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3">
      <c r="A116" s="220" t="s">
        <v>67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3">
      <c r="A117" s="144"/>
      <c r="B117" s="145" t="s">
        <v>68</v>
      </c>
      <c r="C117" s="241"/>
      <c r="D117" s="146"/>
      <c r="E117" s="145"/>
      <c r="F117" s="145"/>
      <c r="G117" s="230"/>
      <c r="H117" s="147" t="s">
        <v>37</v>
      </c>
      <c r="I117" s="148">
        <f ca="1">IFERROR(__xludf.DUMMYFUNCTION("IMPORTRANGE(""https://docs.google.com/spreadsheets/d/11923uPwbBZFjjGgGUA6NLw09EwE0CqkOc4q9oUmW1yo/edit?usp=sharing"",""พิจิตร!I52"")"),0)</f>
        <v>0</v>
      </c>
      <c r="J117" s="148">
        <f ca="1">IFERROR(__xludf.DUMMYFUNCTION("IMPORTRANGE(""https://docs.google.com/spreadsheets/d/11923uPwbBZFjjGgGUA6NLw09EwE0CqkOc4q9oUmW1yo/edit?usp=sharing"",""พิจิตร!J52"")"),0)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45">
      <c r="A118" s="152"/>
      <c r="B118" s="153"/>
      <c r="C118" s="154" t="s">
        <v>16</v>
      </c>
      <c r="D118" s="554" t="s">
        <v>17</v>
      </c>
      <c r="E118" s="545"/>
      <c r="F118" s="545"/>
      <c r="G118" s="545"/>
      <c r="H118" s="155" t="s">
        <v>12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45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45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3">
      <c r="A121" s="164"/>
      <c r="B121" s="165"/>
      <c r="C121" s="165" t="s">
        <v>16</v>
      </c>
      <c r="D121" s="166" t="s">
        <v>38</v>
      </c>
      <c r="E121" s="167"/>
      <c r="F121" s="167"/>
      <c r="G121" s="168" t="s">
        <v>39</v>
      </c>
      <c r="H121" s="169" t="s">
        <v>12</v>
      </c>
      <c r="I121" s="170" t="s">
        <v>40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3">
      <c r="A122" s="164"/>
      <c r="B122" s="165"/>
      <c r="C122" s="165"/>
      <c r="D122" s="174"/>
      <c r="E122" s="167"/>
      <c r="F122" s="167" t="s">
        <v>40</v>
      </c>
      <c r="G122" s="168" t="s">
        <v>41</v>
      </c>
      <c r="H122" s="169" t="s">
        <v>12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IFERROR(__xludf.DUMMYFUNCTION("IMPORTRANGE(""https://docs.google.com/spreadsheets/d/1Yj_ptqi66GCucihVvJfMjLAmec39IyEx_6qawtMGysU/edit?usp=sharing"",""สบก!BA27"")"),0)</f>
        <v>0</v>
      </c>
      <c r="N122" s="177">
        <f ca="1">IFERROR(__xludf.DUMMYFUNCTION("IMPORTRANGE(""https://docs.google.com/spreadsheets/d/1Yj_ptqi66GCucihVvJfMjLAmec39IyEx_6qawtMGysU/edit?usp=sharing"",""สบก!BB27"")"),0)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3">
      <c r="A123" s="164"/>
      <c r="B123" s="165"/>
      <c r="C123" s="165"/>
      <c r="D123" s="174"/>
      <c r="E123" s="167"/>
      <c r="F123" s="167"/>
      <c r="G123" s="179" t="s">
        <v>42</v>
      </c>
      <c r="H123" s="169" t="s">
        <v>12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IFERROR(__xludf.DUMMYFUNCTION("IMPORTRANGE(""https://docs.google.com/spreadsheets/d/1Yj_ptqi66GCucihVvJfMjLAmec39IyEx_6qawtMGysU/edit?usp=sharing"",""สบก!AW27"")"),0)</f>
        <v>0</v>
      </c>
      <c r="M123" s="175"/>
      <c r="N123" s="175"/>
      <c r="O123" s="178"/>
      <c r="P123" s="178"/>
    </row>
    <row r="124" spans="1:16" ht="21.75" customHeight="1" x14ac:dyDescent="0.3">
      <c r="A124" s="164"/>
      <c r="B124" s="165"/>
      <c r="C124" s="165"/>
      <c r="D124" s="174"/>
      <c r="E124" s="167"/>
      <c r="F124" s="167"/>
      <c r="G124" s="179" t="s">
        <v>43</v>
      </c>
      <c r="H124" s="169" t="s">
        <v>12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IFERROR(__xludf.DUMMYFUNCTION("IMPORTRANGE(""https://docs.google.com/spreadsheets/d/1Yj_ptqi66GCucihVvJfMjLAmec39IyEx_6qawtMGysU/edit?usp=sharing"",""สบก!AX27"")"),0)</f>
        <v>0</v>
      </c>
      <c r="M124" s="175"/>
      <c r="N124" s="175"/>
      <c r="O124" s="178"/>
      <c r="P124" s="178"/>
    </row>
    <row r="125" spans="1:16" ht="21.75" customHeight="1" x14ac:dyDescent="0.45">
      <c r="A125" s="180"/>
      <c r="B125" s="83"/>
      <c r="C125" s="84" t="s">
        <v>16</v>
      </c>
      <c r="D125" s="551" t="s">
        <v>23</v>
      </c>
      <c r="E125" s="547"/>
      <c r="F125" s="91"/>
      <c r="G125" s="85" t="s">
        <v>18</v>
      </c>
      <c r="H125" s="181" t="s">
        <v>12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45">
      <c r="A126" s="182"/>
      <c r="B126" s="97"/>
      <c r="C126" s="97"/>
      <c r="D126" s="183"/>
      <c r="E126" s="98"/>
      <c r="F126" s="98"/>
      <c r="G126" s="99" t="s">
        <v>19</v>
      </c>
      <c r="H126" s="184" t="s">
        <v>12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IFERROR(__xludf.DUMMYFUNCTION("IMPORTRANGE(""https://docs.google.com/spreadsheets/d/1Yj_ptqi66GCucihVvJfMjLAmec39IyEx_6qawtMGysU/edit?usp=sharing"",""สบก!AY27"")"),0)</f>
        <v>0</v>
      </c>
      <c r="M126" s="103"/>
      <c r="N126" s="93">
        <f ca="1">IFERROR(__xludf.DUMMYFUNCTION("IMPORTRANGE(""https://docs.google.com/spreadsheets/d/1Yj_ptqi66GCucihVvJfMjLAmec39IyEx_6qawtMGysU/edit?usp=sharing"",""สบก!BC27"")"),0)</f>
        <v>0</v>
      </c>
      <c r="O126" s="103">
        <f ca="1">IF(L126&gt;0,N126*100/L126,0)</f>
        <v>0</v>
      </c>
      <c r="P126" s="103"/>
    </row>
    <row r="127" spans="1:16" ht="21.75" customHeight="1" x14ac:dyDescent="0.3">
      <c r="A127" s="185"/>
      <c r="B127" s="186"/>
      <c r="C127" s="165" t="s">
        <v>16</v>
      </c>
      <c r="D127" s="242" t="s">
        <v>253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3">
      <c r="A128" s="185"/>
      <c r="B128" s="186"/>
      <c r="C128" s="186"/>
      <c r="D128" s="192">
        <v>1</v>
      </c>
      <c r="E128" s="193" t="s">
        <v>45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IFERROR(__xludf.DUMMYFUNCTION("IMPORTRANGE(""https://docs.google.com/spreadsheets/d/11923uPwbBZFjjGgGUA6NLw09EwE0CqkOc4q9oUmW1yo/edit?usp=sharing"",""พิจิตร!J58"")"),0)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3">
      <c r="A129" s="185"/>
      <c r="B129" s="186"/>
      <c r="C129" s="186"/>
      <c r="D129" s="199">
        <v>2</v>
      </c>
      <c r="E129" s="200" t="s">
        <v>46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IFERROR(__xludf.DUMMYFUNCTION("IMPORTRANGE(""https://docs.google.com/spreadsheets/d/11923uPwbBZFjjGgGUA6NLw09EwE0CqkOc4q9oUmW1yo/edit?usp=sharing"",""พิจิตร!J59"")"),0)</f>
        <v>0</v>
      </c>
      <c r="K129" s="233"/>
      <c r="L129" s="178" t="s">
        <v>40</v>
      </c>
      <c r="M129" s="178"/>
      <c r="N129" s="178" t="s">
        <v>40</v>
      </c>
      <c r="O129" s="191"/>
      <c r="P129" s="191"/>
    </row>
    <row r="130" spans="1:16" ht="21.75" customHeight="1" x14ac:dyDescent="0.3">
      <c r="A130" s="185"/>
      <c r="B130" s="186"/>
      <c r="C130" s="186"/>
      <c r="D130" s="203"/>
      <c r="E130" s="204" t="s">
        <v>47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IFERROR(__xludf.DUMMYFUNCTION("IMPORTRANGE(""https://docs.google.com/spreadsheets/d/11923uPwbBZFjjGgGUA6NLw09EwE0CqkOc4q9oUmW1yo/edit?usp=sharing"",""พิจิตร!J60"")"),0)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3">
      <c r="A131" s="185"/>
      <c r="B131" s="186"/>
      <c r="C131" s="186"/>
      <c r="D131" s="203"/>
      <c r="E131" s="204" t="s">
        <v>48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IFERROR(__xludf.DUMMYFUNCTION("IMPORTRANGE(""https://docs.google.com/spreadsheets/d/11923uPwbBZFjjGgGUA6NLw09EwE0CqkOc4q9oUmW1yo/edit?usp=sharing"",""พิจิตร!J61"")"),0)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3">
      <c r="A132" s="185"/>
      <c r="B132" s="186"/>
      <c r="C132" s="186"/>
      <c r="D132" s="203"/>
      <c r="E132" s="208"/>
      <c r="F132" s="204" t="s">
        <v>70</v>
      </c>
      <c r="G132" s="206"/>
      <c r="H132" s="190" t="s">
        <v>37</v>
      </c>
      <c r="I132" s="197">
        <f ca="1">IFERROR(__xludf.DUMMYFUNCTION("IMPORTRANGE(""https://docs.google.com/spreadsheets/d/11923uPwbBZFjjGgGUA6NLw09EwE0CqkOc4q9oUmW1yo/edit?usp=sharing"",""พิจิตร!I62"")"),0)</f>
        <v>0</v>
      </c>
      <c r="J132" s="213">
        <f ca="1">IFERROR(__xludf.DUMMYFUNCTION("IMPORTRANGE(""https://docs.google.com/spreadsheets/d/11923uPwbBZFjjGgGUA6NLw09EwE0CqkOc4q9oUmW1yo/edit?usp=sharing"",""พิจิตร!J62"")"),0)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3">
      <c r="A133" s="185"/>
      <c r="B133" s="186"/>
      <c r="C133" s="186"/>
      <c r="D133" s="203"/>
      <c r="E133" s="208"/>
      <c r="F133" s="204" t="s">
        <v>71</v>
      </c>
      <c r="G133" s="206"/>
      <c r="H133" s="190" t="s">
        <v>37</v>
      </c>
      <c r="I133" s="197">
        <f ca="1">IFERROR(__xludf.DUMMYFUNCTION("IMPORTRANGE(""https://docs.google.com/spreadsheets/d/11923uPwbBZFjjGgGUA6NLw09EwE0CqkOc4q9oUmW1yo/edit?usp=sharing"",""พิจิตร!I63"")"),0)</f>
        <v>0</v>
      </c>
      <c r="J133" s="213">
        <f ca="1">IFERROR(__xludf.DUMMYFUNCTION("IMPORTRANGE(""https://docs.google.com/spreadsheets/d/11923uPwbBZFjjGgGUA6NLw09EwE0CqkOc4q9oUmW1yo/edit?usp=sharing"",""พิจิตร!J63"")"),0)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3">
      <c r="A134" s="185"/>
      <c r="B134" s="186"/>
      <c r="C134" s="186"/>
      <c r="D134" s="203"/>
      <c r="E134" s="204" t="s">
        <v>54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IFERROR(__xludf.DUMMYFUNCTION("IMPORTRANGE(""https://docs.google.com/spreadsheets/d/11923uPwbBZFjjGgGUA6NLw09EwE0CqkOc4q9oUmW1yo/edit?usp=sharing"",""พิจิตร!J64"")"),0)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3">
      <c r="A135" s="243"/>
      <c r="B135" s="244"/>
      <c r="C135" s="244"/>
      <c r="D135" s="245">
        <v>3</v>
      </c>
      <c r="E135" s="246" t="s">
        <v>55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IFERROR(__xludf.DUMMYFUNCTION("IMPORTRANGE(""https://docs.google.com/spreadsheets/d/11923uPwbBZFjjGgGUA6NLw09EwE0CqkOc4q9oUmW1yo/edit?usp=sharing"",""พิจิตร!J65"")"),0)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3">
      <c r="A136" s="255" t="s">
        <v>72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3">
      <c r="A137" s="263" t="s">
        <v>73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3">
      <c r="A138" s="271"/>
      <c r="B138" s="272" t="s">
        <v>74</v>
      </c>
      <c r="C138" s="273"/>
      <c r="D138" s="272"/>
      <c r="E138" s="272"/>
      <c r="F138" s="272"/>
      <c r="G138" s="274"/>
      <c r="H138" s="275" t="s">
        <v>37</v>
      </c>
      <c r="I138" s="276">
        <f ca="1">IFERROR(__xludf.DUMMYFUNCTION("IMPORTRANGE(""https://docs.google.com/spreadsheets/d/11923uPwbBZFjjGgGUA6NLw09EwE0CqkOc4q9oUmW1yo/edit?usp=sharing"",""พิจิตร!I68"")"),0)</f>
        <v>0</v>
      </c>
      <c r="J138" s="276">
        <f ca="1">IFERROR(__xludf.DUMMYFUNCTION("IMPORTRANGE(""https://docs.google.com/spreadsheets/d/11923uPwbBZFjjGgGUA6NLw09EwE0CqkOc4q9oUmW1yo/edit?usp=sharing"",""พิจิตร!J68"")"),0)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3">
      <c r="A139" s="271"/>
      <c r="B139" s="272" t="s">
        <v>75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45">
      <c r="A140" s="152"/>
      <c r="B140" s="153"/>
      <c r="C140" s="154" t="s">
        <v>16</v>
      </c>
      <c r="D140" s="554" t="s">
        <v>17</v>
      </c>
      <c r="E140" s="545"/>
      <c r="F140" s="545"/>
      <c r="G140" s="545"/>
      <c r="H140" s="155" t="s">
        <v>12</v>
      </c>
      <c r="I140" s="170"/>
      <c r="J140" s="170"/>
      <c r="K140" s="171"/>
      <c r="L140" s="158">
        <f t="shared" ref="L140:N140" ca="1" si="64">L141+L142</f>
        <v>58500</v>
      </c>
      <c r="M140" s="158">
        <f t="shared" ca="1" si="64"/>
        <v>45750</v>
      </c>
      <c r="N140" s="158">
        <f t="shared" ca="1" si="64"/>
        <v>20570</v>
      </c>
      <c r="O140" s="157">
        <f t="shared" ref="O140:O142" ca="1" si="65">IF(L140&gt;0,N140*100/L140,0)</f>
        <v>35.162393162393165</v>
      </c>
      <c r="P140" s="157">
        <f t="shared" ref="P140:P142" ca="1" si="66">IF(M140&gt;0,N140*100/M140,0)</f>
        <v>44.961748633879779</v>
      </c>
    </row>
    <row r="141" spans="1:16" ht="21.75" customHeight="1" x14ac:dyDescent="0.45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45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70"/>
      <c r="J142" s="170"/>
      <c r="K142" s="171"/>
      <c r="L142" s="163">
        <f t="shared" ref="L142:N142" ca="1" si="68">L144+L148</f>
        <v>58500</v>
      </c>
      <c r="M142" s="163">
        <f t="shared" ca="1" si="68"/>
        <v>45750</v>
      </c>
      <c r="N142" s="163">
        <f t="shared" ca="1" si="68"/>
        <v>20570</v>
      </c>
      <c r="O142" s="162">
        <f t="shared" ca="1" si="65"/>
        <v>35.162393162393165</v>
      </c>
      <c r="P142" s="162">
        <f t="shared" ca="1" si="66"/>
        <v>44.961748633879779</v>
      </c>
    </row>
    <row r="143" spans="1:16" ht="21.75" customHeight="1" x14ac:dyDescent="0.3">
      <c r="A143" s="164"/>
      <c r="B143" s="165"/>
      <c r="C143" s="165" t="s">
        <v>16</v>
      </c>
      <c r="D143" s="166" t="s">
        <v>38</v>
      </c>
      <c r="E143" s="167"/>
      <c r="F143" s="167"/>
      <c r="G143" s="168" t="s">
        <v>39</v>
      </c>
      <c r="H143" s="169" t="s">
        <v>12</v>
      </c>
      <c r="I143" s="170" t="s">
        <v>40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3">
      <c r="A144" s="164"/>
      <c r="B144" s="165"/>
      <c r="C144" s="165"/>
      <c r="D144" s="174"/>
      <c r="E144" s="167"/>
      <c r="F144" s="167" t="s">
        <v>40</v>
      </c>
      <c r="G144" s="168" t="s">
        <v>41</v>
      </c>
      <c r="H144" s="169" t="s">
        <v>12</v>
      </c>
      <c r="I144" s="170"/>
      <c r="J144" s="170"/>
      <c r="K144" s="171"/>
      <c r="L144" s="175">
        <f ca="1">L145+L146</f>
        <v>58500</v>
      </c>
      <c r="M144" s="176">
        <f ca="1">IFERROR(__xludf.DUMMYFUNCTION("IMPORTRANGE(""https://docs.google.com/spreadsheets/d/1Yj_ptqi66GCucihVvJfMjLAmec39IyEx_6qawtMGysU/edit?usp=sharing"",""สบก!BJ27"")"),45750)</f>
        <v>45750</v>
      </c>
      <c r="N144" s="177">
        <f ca="1">IFERROR(__xludf.DUMMYFUNCTION("IMPORTRANGE(""https://docs.google.com/spreadsheets/d/1Yj_ptqi66GCucihVvJfMjLAmec39IyEx_6qawtMGysU/edit?usp=sharing"",""สบก!BK27"")"),20570)</f>
        <v>20570</v>
      </c>
      <c r="O144" s="178">
        <f ca="1">IF(L144&gt;0,N144*100/L144,0)</f>
        <v>35.162393162393165</v>
      </c>
      <c r="P144" s="178">
        <f ca="1">IF(M144&gt;0,N144*100/M144,0)</f>
        <v>44.961748633879779</v>
      </c>
    </row>
    <row r="145" spans="1:16" ht="21.75" customHeight="1" x14ac:dyDescent="0.3">
      <c r="A145" s="164"/>
      <c r="B145" s="165"/>
      <c r="C145" s="165"/>
      <c r="D145" s="174"/>
      <c r="E145" s="167"/>
      <c r="F145" s="167"/>
      <c r="G145" s="179" t="s">
        <v>42</v>
      </c>
      <c r="H145" s="169" t="s">
        <v>12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IFERROR(__xludf.DUMMYFUNCTION("IMPORTRANGE(""https://docs.google.com/spreadsheets/d/1Yj_ptqi66GCucihVvJfMjLAmec39IyEx_6qawtMGysU/edit?usp=sharing"",""สบก!BF27"")"),0)</f>
        <v>0</v>
      </c>
      <c r="M145" s="175"/>
      <c r="N145" s="175"/>
      <c r="O145" s="178"/>
      <c r="P145" s="178"/>
    </row>
    <row r="146" spans="1:16" ht="21.75" customHeight="1" x14ac:dyDescent="0.3">
      <c r="A146" s="164"/>
      <c r="B146" s="165"/>
      <c r="C146" s="165"/>
      <c r="D146" s="174"/>
      <c r="E146" s="167"/>
      <c r="F146" s="167"/>
      <c r="G146" s="179" t="s">
        <v>43</v>
      </c>
      <c r="H146" s="169" t="s">
        <v>12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IFERROR(__xludf.DUMMYFUNCTION("IMPORTRANGE(""https://docs.google.com/spreadsheets/d/1Yj_ptqi66GCucihVvJfMjLAmec39IyEx_6qawtMGysU/edit?usp=sharing"",""สบก!BG27"")"),58500)</f>
        <v>58500</v>
      </c>
      <c r="M146" s="175"/>
      <c r="N146" s="175"/>
      <c r="O146" s="178"/>
      <c r="P146" s="178"/>
    </row>
    <row r="147" spans="1:16" ht="21.75" customHeight="1" x14ac:dyDescent="0.45">
      <c r="A147" s="180"/>
      <c r="B147" s="83"/>
      <c r="C147" s="84" t="s">
        <v>16</v>
      </c>
      <c r="D147" s="551" t="s">
        <v>23</v>
      </c>
      <c r="E147" s="547"/>
      <c r="F147" s="91"/>
      <c r="G147" s="85" t="s">
        <v>18</v>
      </c>
      <c r="H147" s="181" t="s">
        <v>12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45">
      <c r="A148" s="182"/>
      <c r="B148" s="97"/>
      <c r="C148" s="97"/>
      <c r="D148" s="183"/>
      <c r="E148" s="98"/>
      <c r="F148" s="98"/>
      <c r="G148" s="99" t="s">
        <v>19</v>
      </c>
      <c r="H148" s="184" t="s">
        <v>12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IFERROR(__xludf.DUMMYFUNCTION("IMPORTRANGE(""https://docs.google.com/spreadsheets/d/1Yj_ptqi66GCucihVvJfMjLAmec39IyEx_6qawtMGysU/edit?usp=sharing"",""สบก!BH27"")"),0)</f>
        <v>0</v>
      </c>
      <c r="M148" s="103"/>
      <c r="N148" s="93">
        <f ca="1">IFERROR(__xludf.DUMMYFUNCTION("IMPORTRANGE(""https://docs.google.com/spreadsheets/d/1Yj_ptqi66GCucihVvJfMjLAmec39IyEx_6qawtMGysU/edit?usp=sharing"",""สบก!BL27"")"),0)</f>
        <v>0</v>
      </c>
      <c r="O148" s="103">
        <f ca="1">IF(L148&gt;0,N148*100/L148,0)</f>
        <v>0</v>
      </c>
      <c r="P148" s="103"/>
    </row>
    <row r="149" spans="1:16" ht="21.75" customHeight="1" x14ac:dyDescent="0.3">
      <c r="A149" s="279"/>
      <c r="B149" s="280"/>
      <c r="C149" s="281" t="s">
        <v>76</v>
      </c>
      <c r="D149" s="281"/>
      <c r="E149" s="281"/>
      <c r="F149" s="281"/>
      <c r="G149" s="282"/>
      <c r="H149" s="283" t="s">
        <v>77</v>
      </c>
      <c r="I149" s="284">
        <f ca="1">IFERROR(__xludf.DUMMYFUNCTION("IMPORTRANGE(""https://docs.google.com/spreadsheets/d/11923uPwbBZFjjGgGUA6NLw09EwE0CqkOc4q9oUmW1yo/edit?usp=sharing"",""พิจิตร!I74"")"),4)</f>
        <v>4</v>
      </c>
      <c r="J149" s="284">
        <f ca="1">IFERROR(__xludf.DUMMYFUNCTION("IMPORTRANGE(""https://docs.google.com/spreadsheets/d/11923uPwbBZFjjGgGUA6NLw09EwE0CqkOc4q9oUmW1yo/edit?usp=sharing"",""พิจิตร!J74"")"),1)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3">
      <c r="A150" s="164"/>
      <c r="B150" s="165"/>
      <c r="C150" s="165" t="s">
        <v>16</v>
      </c>
      <c r="D150" s="166" t="s">
        <v>38</v>
      </c>
      <c r="E150" s="167"/>
      <c r="F150" s="167"/>
      <c r="G150" s="168" t="s">
        <v>39</v>
      </c>
      <c r="H150" s="169" t="s">
        <v>12</v>
      </c>
      <c r="I150" s="170" t="s">
        <v>40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3">
      <c r="A151" s="164"/>
      <c r="B151" s="165"/>
      <c r="C151" s="165"/>
      <c r="D151" s="174"/>
      <c r="E151" s="167"/>
      <c r="F151" s="167" t="s">
        <v>40</v>
      </c>
      <c r="G151" s="168" t="s">
        <v>41</v>
      </c>
      <c r="H151" s="169" t="s">
        <v>12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3">
      <c r="A152" s="164"/>
      <c r="B152" s="165"/>
      <c r="C152" s="165"/>
      <c r="D152" s="174"/>
      <c r="E152" s="167"/>
      <c r="F152" s="167"/>
      <c r="G152" s="179" t="s">
        <v>43</v>
      </c>
      <c r="H152" s="169" t="s">
        <v>12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3">
      <c r="A153" s="185"/>
      <c r="B153" s="186"/>
      <c r="C153" s="165" t="s">
        <v>16</v>
      </c>
      <c r="D153" s="187" t="s">
        <v>44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3">
      <c r="A154" s="185"/>
      <c r="B154" s="186"/>
      <c r="C154" s="186"/>
      <c r="D154" s="192">
        <v>1</v>
      </c>
      <c r="E154" s="193" t="s">
        <v>45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IFERROR(__xludf.DUMMYFUNCTION("IMPORTRANGE(""https://docs.google.com/spreadsheets/d/11923uPwbBZFjjGgGUA6NLw09EwE0CqkOc4q9oUmW1yo/edit?usp=sharing"",""พิจิตร!J79"")"),0)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3">
      <c r="A155" s="185"/>
      <c r="B155" s="186"/>
      <c r="C155" s="186"/>
      <c r="D155" s="199">
        <v>2</v>
      </c>
      <c r="E155" s="200" t="s">
        <v>46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IFERROR(__xludf.DUMMYFUNCTION("IMPORTRANGE(""https://docs.google.com/spreadsheets/d/11923uPwbBZFjjGgGUA6NLw09EwE0CqkOc4q9oUmW1yo/edit?usp=sharing"",""พิจิตร!J80"")"),1)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3">
      <c r="A156" s="185"/>
      <c r="B156" s="186"/>
      <c r="C156" s="186"/>
      <c r="D156" s="203"/>
      <c r="E156" s="204" t="s">
        <v>47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IFERROR(__xludf.DUMMYFUNCTION("IMPORTRANGE(""https://docs.google.com/spreadsheets/d/11923uPwbBZFjjGgGUA6NLw09EwE0CqkOc4q9oUmW1yo/edit?usp=sharing"",""พิจิตร!J81"")"),1)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3">
      <c r="A157" s="185"/>
      <c r="B157" s="186"/>
      <c r="C157" s="186"/>
      <c r="D157" s="203"/>
      <c r="E157" s="204" t="s">
        <v>48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IFERROR(__xludf.DUMMYFUNCTION("IMPORTRANGE(""https://docs.google.com/spreadsheets/d/11923uPwbBZFjjGgGUA6NLw09EwE0CqkOc4q9oUmW1yo/edit?usp=sharing"",""พิจิตร!J82"")"),1)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3">
      <c r="A158" s="185"/>
      <c r="B158" s="186"/>
      <c r="C158" s="186"/>
      <c r="D158" s="203"/>
      <c r="E158" s="208"/>
      <c r="F158" s="204" t="s">
        <v>78</v>
      </c>
      <c r="G158" s="206"/>
      <c r="H158" s="190" t="s">
        <v>77</v>
      </c>
      <c r="I158" s="197">
        <f ca="1">IFERROR(__xludf.DUMMYFUNCTION("IMPORTRANGE(""https://docs.google.com/spreadsheets/d/11923uPwbBZFjjGgGUA6NLw09EwE0CqkOc4q9oUmW1yo/edit?usp=sharing"",""พิจิตร!I83"")"),4)</f>
        <v>4</v>
      </c>
      <c r="J158" s="198">
        <f ca="1">IFERROR(__xludf.DUMMYFUNCTION("IMPORTRANGE(""https://docs.google.com/spreadsheets/d/11923uPwbBZFjjGgGUA6NLw09EwE0CqkOc4q9oUmW1yo/edit?usp=sharing"",""พิจิตร!J83"")"),1)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3">
      <c r="A159" s="185"/>
      <c r="B159" s="186"/>
      <c r="C159" s="186"/>
      <c r="D159" s="203"/>
      <c r="E159" s="205"/>
      <c r="F159" s="287" t="s">
        <v>79</v>
      </c>
      <c r="G159" s="206"/>
      <c r="H159" s="288" t="s">
        <v>37</v>
      </c>
      <c r="I159" s="197"/>
      <c r="J159" s="213">
        <f ca="1">IFERROR(__xludf.DUMMYFUNCTION("IMPORTRANGE(""https://docs.google.com/spreadsheets/d/11923uPwbBZFjjGgGUA6NLw09EwE0CqkOc4q9oUmW1yo/edit?usp=sharing"",""พิจิตร!J84"")"),28)</f>
        <v>28</v>
      </c>
      <c r="K159" s="171"/>
      <c r="L159" s="191"/>
      <c r="M159" s="191"/>
      <c r="N159" s="191"/>
      <c r="O159" s="191"/>
      <c r="P159" s="191"/>
    </row>
    <row r="160" spans="1:16" ht="21.75" customHeight="1" x14ac:dyDescent="0.45">
      <c r="A160" s="185"/>
      <c r="B160" s="186"/>
      <c r="C160" s="186"/>
      <c r="D160" s="203"/>
      <c r="E160" s="205"/>
      <c r="F160" s="205"/>
      <c r="G160" s="289" t="s">
        <v>80</v>
      </c>
      <c r="H160" s="288" t="s">
        <v>37</v>
      </c>
      <c r="I160" s="197"/>
      <c r="J160" s="290">
        <f ca="1">IFERROR(__xludf.DUMMYFUNCTION("IMPORTRANGE(""https://docs.google.com/spreadsheets/d/11923uPwbBZFjjGgGUA6NLw09EwE0CqkOc4q9oUmW1yo/edit?usp=sharing"",""พิจิตร!J85"")"),28)</f>
        <v>28</v>
      </c>
      <c r="K160" s="171"/>
      <c r="L160" s="191"/>
      <c r="M160" s="191"/>
      <c r="N160" s="191"/>
      <c r="O160" s="191"/>
      <c r="P160" s="191"/>
    </row>
    <row r="161" spans="1:16" ht="21.75" customHeight="1" x14ac:dyDescent="0.45">
      <c r="A161" s="185"/>
      <c r="B161" s="186"/>
      <c r="C161" s="186"/>
      <c r="D161" s="203"/>
      <c r="E161" s="205"/>
      <c r="F161" s="205"/>
      <c r="G161" s="289" t="s">
        <v>81</v>
      </c>
      <c r="H161" s="288" t="s">
        <v>37</v>
      </c>
      <c r="I161" s="197"/>
      <c r="J161" s="290">
        <f ca="1">IFERROR(__xludf.DUMMYFUNCTION("IMPORTRANGE(""https://docs.google.com/spreadsheets/d/11923uPwbBZFjjGgGUA6NLw09EwE0CqkOc4q9oUmW1yo/edit?usp=sharing"",""พิจิตร!J86"")"),0)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3">
      <c r="A162" s="185"/>
      <c r="B162" s="186"/>
      <c r="C162" s="186"/>
      <c r="D162" s="203"/>
      <c r="E162" s="204" t="s">
        <v>54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IFERROR(__xludf.DUMMYFUNCTION("IMPORTRANGE(""https://docs.google.com/spreadsheets/d/11923uPwbBZFjjGgGUA6NLw09EwE0CqkOc4q9oUmW1yo/edit?usp=sharing"",""พิจิตร!J87"")"),0)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3">
      <c r="A163" s="185"/>
      <c r="B163" s="186"/>
      <c r="C163" s="186"/>
      <c r="D163" s="215">
        <v>3</v>
      </c>
      <c r="E163" s="216" t="s">
        <v>55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IFERROR(__xludf.DUMMYFUNCTION("IMPORTRANGE(""https://docs.google.com/spreadsheets/d/11923uPwbBZFjjGgGUA6NLw09EwE0CqkOc4q9oUmW1yo/edit?usp=sharing"",""พิจิตร!J88"")"),0)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3">
      <c r="A164" s="279"/>
      <c r="B164" s="280"/>
      <c r="C164" s="281" t="s">
        <v>82</v>
      </c>
      <c r="D164" s="281"/>
      <c r="E164" s="281"/>
      <c r="F164" s="281"/>
      <c r="G164" s="282"/>
      <c r="H164" s="291" t="s">
        <v>83</v>
      </c>
      <c r="I164" s="292">
        <f ca="1">IFERROR(__xludf.DUMMYFUNCTION("IMPORTRANGE(""https://docs.google.com/spreadsheets/d/11923uPwbBZFjjGgGUA6NLw09EwE0CqkOc4q9oUmW1yo/edit?usp=sharing"",""พิจิตร!I89"")"),3)</f>
        <v>3</v>
      </c>
      <c r="J164" s="292">
        <f ca="1">IFERROR(__xludf.DUMMYFUNCTION("IMPORTRANGE(""https://docs.google.com/spreadsheets/d/11923uPwbBZFjjGgGUA6NLw09EwE0CqkOc4q9oUmW1yo/edit?usp=sharing"",""พิจิตร!J89"")"),0)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3">
      <c r="A165" s="164"/>
      <c r="B165" s="165"/>
      <c r="C165" s="165" t="s">
        <v>16</v>
      </c>
      <c r="D165" s="166" t="s">
        <v>38</v>
      </c>
      <c r="E165" s="167"/>
      <c r="F165" s="167"/>
      <c r="G165" s="168" t="s">
        <v>39</v>
      </c>
      <c r="H165" s="169" t="s">
        <v>12</v>
      </c>
      <c r="I165" s="170" t="s">
        <v>40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3">
      <c r="A166" s="164"/>
      <c r="B166" s="165"/>
      <c r="C166" s="165"/>
      <c r="D166" s="174"/>
      <c r="E166" s="167"/>
      <c r="F166" s="167" t="s">
        <v>40</v>
      </c>
      <c r="G166" s="168" t="s">
        <v>41</v>
      </c>
      <c r="H166" s="169" t="s">
        <v>12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3">
      <c r="A167" s="164"/>
      <c r="B167" s="165"/>
      <c r="C167" s="165"/>
      <c r="D167" s="174"/>
      <c r="E167" s="167"/>
      <c r="F167" s="167"/>
      <c r="G167" s="179" t="s">
        <v>43</v>
      </c>
      <c r="H167" s="169" t="s">
        <v>12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3">
      <c r="A168" s="185"/>
      <c r="B168" s="186"/>
      <c r="C168" s="165" t="s">
        <v>16</v>
      </c>
      <c r="D168" s="187" t="s">
        <v>44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3">
      <c r="A169" s="185"/>
      <c r="B169" s="186"/>
      <c r="C169" s="186"/>
      <c r="D169" s="192">
        <v>1</v>
      </c>
      <c r="E169" s="193" t="s">
        <v>45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IFERROR(__xludf.DUMMYFUNCTION("IMPORTRANGE(""https://docs.google.com/spreadsheets/d/11923uPwbBZFjjGgGUA6NLw09EwE0CqkOc4q9oUmW1yo/edit?usp=sharing"",""พิจิตร!J94"")"),0)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3">
      <c r="A170" s="185"/>
      <c r="B170" s="186"/>
      <c r="C170" s="186"/>
      <c r="D170" s="199">
        <v>2</v>
      </c>
      <c r="E170" s="200" t="s">
        <v>46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IFERROR(__xludf.DUMMYFUNCTION("IMPORTRANGE(""https://docs.google.com/spreadsheets/d/11923uPwbBZFjjGgGUA6NLw09EwE0CqkOc4q9oUmW1yo/edit?usp=sharing"",""พิจิตร!J95"")"),1)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3">
      <c r="A171" s="185"/>
      <c r="B171" s="186"/>
      <c r="C171" s="186"/>
      <c r="D171" s="203"/>
      <c r="E171" s="204" t="s">
        <v>47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IFERROR(__xludf.DUMMYFUNCTION("IMPORTRANGE(""https://docs.google.com/spreadsheets/d/11923uPwbBZFjjGgGUA6NLw09EwE0CqkOc4q9oUmW1yo/edit?usp=sharing"",""พิจิตร!J96"")"),1)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3">
      <c r="A172" s="185"/>
      <c r="B172" s="186"/>
      <c r="C172" s="186"/>
      <c r="D172" s="203"/>
      <c r="E172" s="204" t="s">
        <v>48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IFERROR(__xludf.DUMMYFUNCTION("IMPORTRANGE(""https://docs.google.com/spreadsheets/d/11923uPwbBZFjjGgGUA6NLw09EwE0CqkOc4q9oUmW1yo/edit?usp=sharing"",""พิจิตร!J97"")"),1)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3">
      <c r="A173" s="185"/>
      <c r="B173" s="186"/>
      <c r="C173" s="186"/>
      <c r="D173" s="203"/>
      <c r="E173" s="208"/>
      <c r="F173" s="214" t="s">
        <v>84</v>
      </c>
      <c r="G173" s="206"/>
      <c r="H173" s="190" t="s">
        <v>83</v>
      </c>
      <c r="I173" s="197">
        <f ca="1">IFERROR(__xludf.DUMMYFUNCTION("IMPORTRANGE(""https://docs.google.com/spreadsheets/d/11923uPwbBZFjjGgGUA6NLw09EwE0CqkOc4q9oUmW1yo/edit?usp=sharing"",""พิจิตร!I98"")"),3)</f>
        <v>3</v>
      </c>
      <c r="J173" s="198">
        <f ca="1">IFERROR(__xludf.DUMMYFUNCTION("IMPORTRANGE(""https://docs.google.com/spreadsheets/d/11923uPwbBZFjjGgGUA6NLw09EwE0CqkOc4q9oUmW1yo/edit?usp=sharing"",""พิจิตร!J98"")"),0)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3">
      <c r="A174" s="185"/>
      <c r="B174" s="186"/>
      <c r="C174" s="186"/>
      <c r="D174" s="203"/>
      <c r="E174" s="204" t="s">
        <v>54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IFERROR(__xludf.DUMMYFUNCTION("IMPORTRANGE(""https://docs.google.com/spreadsheets/d/11923uPwbBZFjjGgGUA6NLw09EwE0CqkOc4q9oUmW1yo/edit?usp=sharing"",""พิจิตร!J99"")"),0)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3">
      <c r="A175" s="185"/>
      <c r="B175" s="186"/>
      <c r="C175" s="186"/>
      <c r="D175" s="215">
        <v>3</v>
      </c>
      <c r="E175" s="216" t="s">
        <v>55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IFERROR(__xludf.DUMMYFUNCTION("IMPORTRANGE(""https://docs.google.com/spreadsheets/d/11923uPwbBZFjjGgGUA6NLw09EwE0CqkOc4q9oUmW1yo/edit?usp=sharing"",""พิจิตร!J100"")"),0)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3">
      <c r="A176" s="279"/>
      <c r="B176" s="280"/>
      <c r="C176" s="281" t="s">
        <v>85</v>
      </c>
      <c r="D176" s="281"/>
      <c r="E176" s="281"/>
      <c r="F176" s="281"/>
      <c r="G176" s="282"/>
      <c r="H176" s="291" t="s">
        <v>83</v>
      </c>
      <c r="I176" s="292">
        <f ca="1">IFERROR(__xludf.DUMMYFUNCTION("IMPORTRANGE(""https://docs.google.com/spreadsheets/d/11923uPwbBZFjjGgGUA6NLw09EwE0CqkOc4q9oUmW1yo/edit?usp=sharing"",""พิจิตร!I101"")"),0)</f>
        <v>0</v>
      </c>
      <c r="J176" s="292">
        <f ca="1">IFERROR(__xludf.DUMMYFUNCTION("IMPORTRANGE(""https://docs.google.com/spreadsheets/d/11923uPwbBZFjjGgGUA6NLw09EwE0CqkOc4q9oUmW1yo/edit?usp=sharing"",""พิจิตร!J101"")"),0)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3">
      <c r="A177" s="164"/>
      <c r="B177" s="165"/>
      <c r="C177" s="165" t="s">
        <v>16</v>
      </c>
      <c r="D177" s="166" t="s">
        <v>38</v>
      </c>
      <c r="E177" s="167"/>
      <c r="F177" s="167"/>
      <c r="G177" s="168" t="s">
        <v>39</v>
      </c>
      <c r="H177" s="169" t="s">
        <v>12</v>
      </c>
      <c r="I177" s="170" t="s">
        <v>40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3">
      <c r="A178" s="164"/>
      <c r="B178" s="165"/>
      <c r="C178" s="165"/>
      <c r="D178" s="174"/>
      <c r="E178" s="167"/>
      <c r="F178" s="167" t="s">
        <v>40</v>
      </c>
      <c r="G178" s="168" t="s">
        <v>41</v>
      </c>
      <c r="H178" s="169" t="s">
        <v>12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3">
      <c r="A179" s="164"/>
      <c r="B179" s="165"/>
      <c r="C179" s="165"/>
      <c r="D179" s="174"/>
      <c r="E179" s="167"/>
      <c r="F179" s="167"/>
      <c r="G179" s="179" t="s">
        <v>43</v>
      </c>
      <c r="H179" s="169" t="s">
        <v>12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3">
      <c r="A180" s="185"/>
      <c r="B180" s="186"/>
      <c r="C180" s="165" t="s">
        <v>16</v>
      </c>
      <c r="D180" s="187" t="s">
        <v>44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3">
      <c r="A181" s="185"/>
      <c r="B181" s="186"/>
      <c r="C181" s="186"/>
      <c r="D181" s="192">
        <v>1</v>
      </c>
      <c r="E181" s="193" t="s">
        <v>45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IFERROR(__xludf.DUMMYFUNCTION("IMPORTRANGE(""https://docs.google.com/spreadsheets/d/11923uPwbBZFjjGgGUA6NLw09EwE0CqkOc4q9oUmW1yo/edit?usp=sharing"",""พิจิตร!J106"")"),0)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3">
      <c r="A182" s="185"/>
      <c r="B182" s="186"/>
      <c r="C182" s="186"/>
      <c r="D182" s="199">
        <v>2</v>
      </c>
      <c r="E182" s="200" t="s">
        <v>46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IFERROR(__xludf.DUMMYFUNCTION("IMPORTRANGE(""https://docs.google.com/spreadsheets/d/11923uPwbBZFjjGgGUA6NLw09EwE0CqkOc4q9oUmW1yo/edit?usp=sharing"",""พิจิตร!J107"")"),0)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3">
      <c r="A183" s="185"/>
      <c r="B183" s="186"/>
      <c r="C183" s="186"/>
      <c r="D183" s="203"/>
      <c r="E183" s="204" t="s">
        <v>47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IFERROR(__xludf.DUMMYFUNCTION("IMPORTRANGE(""https://docs.google.com/spreadsheets/d/11923uPwbBZFjjGgGUA6NLw09EwE0CqkOc4q9oUmW1yo/edit?usp=sharing"",""พิจิตร!J108"")"),0)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3">
      <c r="A184" s="185"/>
      <c r="B184" s="186"/>
      <c r="C184" s="186"/>
      <c r="D184" s="203"/>
      <c r="E184" s="204" t="s">
        <v>48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IFERROR(__xludf.DUMMYFUNCTION("IMPORTRANGE(""https://docs.google.com/spreadsheets/d/11923uPwbBZFjjGgGUA6NLw09EwE0CqkOc4q9oUmW1yo/edit?usp=sharing"",""พิจิตร!J109"")"),0)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3">
      <c r="A185" s="185"/>
      <c r="B185" s="186"/>
      <c r="C185" s="186"/>
      <c r="D185" s="203"/>
      <c r="E185" s="208"/>
      <c r="F185" s="204" t="s">
        <v>86</v>
      </c>
      <c r="G185" s="206"/>
      <c r="H185" s="190" t="s">
        <v>83</v>
      </c>
      <c r="I185" s="197">
        <f ca="1">IFERROR(__xludf.DUMMYFUNCTION("IMPORTRANGE(""https://docs.google.com/spreadsheets/d/11923uPwbBZFjjGgGUA6NLw09EwE0CqkOc4q9oUmW1yo/edit?usp=sharing"",""พิจิตร!I110"")"),0)</f>
        <v>0</v>
      </c>
      <c r="J185" s="213">
        <f ca="1">IFERROR(__xludf.DUMMYFUNCTION("IMPORTRANGE(""https://docs.google.com/spreadsheets/d/11923uPwbBZFjjGgGUA6NLw09EwE0CqkOc4q9oUmW1yo/edit?usp=sharing"",""พิจิตร!J110"")"),0)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3">
      <c r="A186" s="185"/>
      <c r="B186" s="186"/>
      <c r="C186" s="186"/>
      <c r="D186" s="203"/>
      <c r="E186" s="208"/>
      <c r="F186" s="204" t="s">
        <v>87</v>
      </c>
      <c r="G186" s="206"/>
      <c r="H186" s="190" t="s">
        <v>83</v>
      </c>
      <c r="I186" s="197">
        <f ca="1">IFERROR(__xludf.DUMMYFUNCTION("IMPORTRANGE(""https://docs.google.com/spreadsheets/d/11923uPwbBZFjjGgGUA6NLw09EwE0CqkOc4q9oUmW1yo/edit?usp=sharing"",""พิจิตร!I111"")"),0)</f>
        <v>0</v>
      </c>
      <c r="J186" s="213">
        <f ca="1">IFERROR(__xludf.DUMMYFUNCTION("IMPORTRANGE(""https://docs.google.com/spreadsheets/d/11923uPwbBZFjjGgGUA6NLw09EwE0CqkOc4q9oUmW1yo/edit?usp=sharing"",""พิจิตร!J111"")"),0)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3">
      <c r="A187" s="185"/>
      <c r="B187" s="186"/>
      <c r="C187" s="186"/>
      <c r="D187" s="203"/>
      <c r="E187" s="204" t="s">
        <v>54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IFERROR(__xludf.DUMMYFUNCTION("IMPORTRANGE(""https://docs.google.com/spreadsheets/d/11923uPwbBZFjjGgGUA6NLw09EwE0CqkOc4q9oUmW1yo/edit?usp=sharing"",""พิจิตร!J112"")"),0)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3">
      <c r="A188" s="185"/>
      <c r="B188" s="186"/>
      <c r="C188" s="186"/>
      <c r="D188" s="215">
        <v>3</v>
      </c>
      <c r="E188" s="216" t="s">
        <v>55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IFERROR(__xludf.DUMMYFUNCTION("IMPORTRANGE(""https://docs.google.com/spreadsheets/d/11923uPwbBZFjjGgGUA6NLw09EwE0CqkOc4q9oUmW1yo/edit?usp=sharing"",""พิจิตร!J113"")"),0)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3">
      <c r="A189" s="279"/>
      <c r="B189" s="280"/>
      <c r="C189" s="281" t="s">
        <v>88</v>
      </c>
      <c r="D189" s="281"/>
      <c r="E189" s="281"/>
      <c r="F189" s="281"/>
      <c r="G189" s="282"/>
      <c r="H189" s="294" t="s">
        <v>89</v>
      </c>
      <c r="I189" s="292">
        <f ca="1">IFERROR(__xludf.DUMMYFUNCTION("IMPORTRANGE(""https://docs.google.com/spreadsheets/d/11923uPwbBZFjjGgGUA6NLw09EwE0CqkOc4q9oUmW1yo/edit?usp=sharing"",""พิจิตร!I114"")"),20000)</f>
        <v>20000</v>
      </c>
      <c r="J189" s="292">
        <f ca="1">IFERROR(__xludf.DUMMYFUNCTION("IMPORTRANGE(""https://docs.google.com/spreadsheets/d/11923uPwbBZFjjGgGUA6NLw09EwE0CqkOc4q9oUmW1yo/edit?usp=sharing"",""พิจิตร!J114"")"),0)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3">
      <c r="A190" s="164"/>
      <c r="B190" s="165"/>
      <c r="C190" s="165" t="s">
        <v>16</v>
      </c>
      <c r="D190" s="166" t="s">
        <v>38</v>
      </c>
      <c r="E190" s="167"/>
      <c r="F190" s="167"/>
      <c r="G190" s="168" t="s">
        <v>39</v>
      </c>
      <c r="H190" s="169" t="s">
        <v>12</v>
      </c>
      <c r="I190" s="170" t="s">
        <v>40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3">
      <c r="A191" s="164"/>
      <c r="B191" s="165"/>
      <c r="C191" s="165"/>
      <c r="D191" s="174"/>
      <c r="E191" s="167"/>
      <c r="F191" s="167" t="s">
        <v>40</v>
      </c>
      <c r="G191" s="168" t="s">
        <v>41</v>
      </c>
      <c r="H191" s="169" t="s">
        <v>12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3">
      <c r="A192" s="164"/>
      <c r="B192" s="165"/>
      <c r="C192" s="165"/>
      <c r="D192" s="174"/>
      <c r="E192" s="167"/>
      <c r="F192" s="167"/>
      <c r="G192" s="179" t="s">
        <v>43</v>
      </c>
      <c r="H192" s="169" t="s">
        <v>12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3">
      <c r="A193" s="185"/>
      <c r="B193" s="186"/>
      <c r="C193" s="165" t="s">
        <v>16</v>
      </c>
      <c r="D193" s="187" t="s">
        <v>44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3">
      <c r="A194" s="185"/>
      <c r="B194" s="186"/>
      <c r="C194" s="186"/>
      <c r="D194" s="192">
        <v>1</v>
      </c>
      <c r="E194" s="193" t="s">
        <v>45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IFERROR(__xludf.DUMMYFUNCTION("IMPORTRANGE(""https://docs.google.com/spreadsheets/d/11923uPwbBZFjjGgGUA6NLw09EwE0CqkOc4q9oUmW1yo/edit?usp=sharing"",""พิจิตร!J119"")"),0)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3">
      <c r="A195" s="185"/>
      <c r="B195" s="186"/>
      <c r="C195" s="186"/>
      <c r="D195" s="199">
        <v>2</v>
      </c>
      <c r="E195" s="200" t="s">
        <v>46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IFERROR(__xludf.DUMMYFUNCTION("IMPORTRANGE(""https://docs.google.com/spreadsheets/d/11923uPwbBZFjjGgGUA6NLw09EwE0CqkOc4q9oUmW1yo/edit?usp=sharing"",""พิจิตร!J120"")"),1)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3">
      <c r="A196" s="185"/>
      <c r="B196" s="186"/>
      <c r="C196" s="186"/>
      <c r="D196" s="203"/>
      <c r="E196" s="204" t="s">
        <v>47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IFERROR(__xludf.DUMMYFUNCTION("IMPORTRANGE(""https://docs.google.com/spreadsheets/d/11923uPwbBZFjjGgGUA6NLw09EwE0CqkOc4q9oUmW1yo/edit?usp=sharing"",""พิจิตร!J121"")"),1)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3">
      <c r="A197" s="185"/>
      <c r="B197" s="186"/>
      <c r="C197" s="186"/>
      <c r="D197" s="203"/>
      <c r="E197" s="204" t="s">
        <v>48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IFERROR(__xludf.DUMMYFUNCTION("IMPORTRANGE(""https://docs.google.com/spreadsheets/d/11923uPwbBZFjjGgGUA6NLw09EwE0CqkOc4q9oUmW1yo/edit?usp=sharing"",""พิจิตร!J122"")"),1)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3">
      <c r="A198" s="185"/>
      <c r="B198" s="186"/>
      <c r="C198" s="186"/>
      <c r="D198" s="203"/>
      <c r="E198" s="205"/>
      <c r="F198" s="205" t="s">
        <v>90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3">
      <c r="A199" s="185"/>
      <c r="B199" s="186"/>
      <c r="C199" s="186"/>
      <c r="D199" s="203"/>
      <c r="E199" s="208"/>
      <c r="F199" s="205"/>
      <c r="G199" s="204" t="s">
        <v>91</v>
      </c>
      <c r="H199" s="190" t="s">
        <v>89</v>
      </c>
      <c r="I199" s="197">
        <f ca="1">IFERROR(__xludf.DUMMYFUNCTION("IMPORTRANGE(""https://docs.google.com/spreadsheets/d/11923uPwbBZFjjGgGUA6NLw09EwE0CqkOc4q9oUmW1yo/edit?usp=sharing"",""พิจิตร!I124"")"),20000)</f>
        <v>20000</v>
      </c>
      <c r="J199" s="198">
        <f ca="1">IFERROR(__xludf.DUMMYFUNCTION("IMPORTRANGE(""https://docs.google.com/spreadsheets/d/11923uPwbBZFjjGgGUA6NLw09EwE0CqkOc4q9oUmW1yo/edit?usp=sharing"",""พิจิตร!J124"")"),0)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3">
      <c r="A200" s="185"/>
      <c r="B200" s="186"/>
      <c r="C200" s="186"/>
      <c r="D200" s="203"/>
      <c r="E200" s="208"/>
      <c r="F200" s="205"/>
      <c r="G200" s="204" t="s">
        <v>92</v>
      </c>
      <c r="H200" s="190" t="s">
        <v>89</v>
      </c>
      <c r="I200" s="197">
        <f ca="1">IFERROR(__xludf.DUMMYFUNCTION("IMPORTRANGE(""https://docs.google.com/spreadsheets/d/11923uPwbBZFjjGgGUA6NLw09EwE0CqkOc4q9oUmW1yo/edit?usp=sharing"",""พิจิตร!I125"")"),20000)</f>
        <v>20000</v>
      </c>
      <c r="J200" s="198">
        <f ca="1">IFERROR(__xludf.DUMMYFUNCTION("IMPORTRANGE(""https://docs.google.com/spreadsheets/d/11923uPwbBZFjjGgGUA6NLw09EwE0CqkOc4q9oUmW1yo/edit?usp=sharing"",""พิจิตร!J125"")"),0)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3">
      <c r="A201" s="185"/>
      <c r="B201" s="186"/>
      <c r="C201" s="186"/>
      <c r="D201" s="203"/>
      <c r="E201" s="208"/>
      <c r="F201" s="205" t="s">
        <v>93</v>
      </c>
      <c r="G201" s="206"/>
      <c r="H201" s="190" t="s">
        <v>37</v>
      </c>
      <c r="I201" s="197">
        <f ca="1">IFERROR(__xludf.DUMMYFUNCTION("IMPORTRANGE(""https://docs.google.com/spreadsheets/d/11923uPwbBZFjjGgGUA6NLw09EwE0CqkOc4q9oUmW1yo/edit?usp=sharing"",""พิจิตร!I126"")"),0)</f>
        <v>0</v>
      </c>
      <c r="J201" s="198">
        <f ca="1">IFERROR(__xludf.DUMMYFUNCTION("IMPORTRANGE(""https://docs.google.com/spreadsheets/d/11923uPwbBZFjjGgGUA6NLw09EwE0CqkOc4q9oUmW1yo/edit?usp=sharing"",""พิจิตร!J126"")"),0)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3">
      <c r="A202" s="185"/>
      <c r="B202" s="186"/>
      <c r="C202" s="186"/>
      <c r="D202" s="203"/>
      <c r="E202" s="204" t="s">
        <v>54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IFERROR(__xludf.DUMMYFUNCTION("IMPORTRANGE(""https://docs.google.com/spreadsheets/d/11923uPwbBZFjjGgGUA6NLw09EwE0CqkOc4q9oUmW1yo/edit?usp=sharing"",""พิจิตร!J127"")"),0)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3">
      <c r="A203" s="243"/>
      <c r="B203" s="244"/>
      <c r="C203" s="244"/>
      <c r="D203" s="245">
        <v>3</v>
      </c>
      <c r="E203" s="246" t="s">
        <v>55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IFERROR(__xludf.DUMMYFUNCTION("IMPORTRANGE(""https://docs.google.com/spreadsheets/d/11923uPwbBZFjjGgGUA6NLw09EwE0CqkOc4q9oUmW1yo/edit?usp=sharing"",""พิจิตร!J128"")"),0)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3">
      <c r="A204" s="279"/>
      <c r="B204" s="280"/>
      <c r="C204" s="297" t="s">
        <v>94</v>
      </c>
      <c r="D204" s="281"/>
      <c r="E204" s="281"/>
      <c r="F204" s="281"/>
      <c r="G204" s="282"/>
      <c r="H204" s="294" t="s">
        <v>37</v>
      </c>
      <c r="I204" s="292">
        <f ca="1">IFERROR(__xludf.DUMMYFUNCTION("IMPORTRANGE(""https://docs.google.com/spreadsheets/d/11923uPwbBZFjjGgGUA6NLw09EwE0CqkOc4q9oUmW1yo/edit?usp=sharing"",""พิจิตร!I129"")"),0)</f>
        <v>0</v>
      </c>
      <c r="J204" s="292">
        <f ca="1">IFERROR(__xludf.DUMMYFUNCTION("IMPORTRANGE(""https://docs.google.com/spreadsheets/d/11923uPwbBZFjjGgGUA6NLw09EwE0CqkOc4q9oUmW1yo/edit?usp=sharing"",""พิจิตร!J129"")"),0)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3">
      <c r="A205" s="164"/>
      <c r="B205" s="165"/>
      <c r="C205" s="165" t="s">
        <v>16</v>
      </c>
      <c r="D205" s="166" t="s">
        <v>38</v>
      </c>
      <c r="E205" s="167"/>
      <c r="F205" s="167"/>
      <c r="G205" s="168" t="s">
        <v>39</v>
      </c>
      <c r="H205" s="169" t="s">
        <v>12</v>
      </c>
      <c r="I205" s="170" t="s">
        <v>40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3">
      <c r="A206" s="164"/>
      <c r="B206" s="165"/>
      <c r="C206" s="165"/>
      <c r="D206" s="174"/>
      <c r="E206" s="167"/>
      <c r="F206" s="167" t="s">
        <v>40</v>
      </c>
      <c r="G206" s="168" t="s">
        <v>41</v>
      </c>
      <c r="H206" s="169" t="s">
        <v>12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3">
      <c r="A207" s="164"/>
      <c r="B207" s="165"/>
      <c r="C207" s="165"/>
      <c r="D207" s="174"/>
      <c r="E207" s="167"/>
      <c r="F207" s="167"/>
      <c r="G207" s="179" t="s">
        <v>43</v>
      </c>
      <c r="H207" s="169" t="s">
        <v>12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3">
      <c r="A208" s="185"/>
      <c r="B208" s="186"/>
      <c r="C208" s="165" t="s">
        <v>16</v>
      </c>
      <c r="D208" s="187" t="s">
        <v>44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3">
      <c r="A209" s="185"/>
      <c r="B209" s="186"/>
      <c r="C209" s="186"/>
      <c r="D209" s="192">
        <v>1</v>
      </c>
      <c r="E209" s="193" t="s">
        <v>45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IFERROR(__xludf.DUMMYFUNCTION("IMPORTRANGE(""https://docs.google.com/spreadsheets/d/11923uPwbBZFjjGgGUA6NLw09EwE0CqkOc4q9oUmW1yo/edit?usp=sharing"",""พิจิตร!J134"")"),0)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3">
      <c r="A210" s="185"/>
      <c r="B210" s="186"/>
      <c r="C210" s="186"/>
      <c r="D210" s="199">
        <v>2</v>
      </c>
      <c r="E210" s="200" t="s">
        <v>46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IFERROR(__xludf.DUMMYFUNCTION("IMPORTRANGE(""https://docs.google.com/spreadsheets/d/11923uPwbBZFjjGgGUA6NLw09EwE0CqkOc4q9oUmW1yo/edit?usp=sharing"",""พิจิตร!J135"")"),0)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3">
      <c r="A211" s="185"/>
      <c r="B211" s="186"/>
      <c r="C211" s="186"/>
      <c r="D211" s="203"/>
      <c r="E211" s="204" t="s">
        <v>47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IFERROR(__xludf.DUMMYFUNCTION("IMPORTRANGE(""https://docs.google.com/spreadsheets/d/11923uPwbBZFjjGgGUA6NLw09EwE0CqkOc4q9oUmW1yo/edit?usp=sharing"",""พิจิตร!J136"")"),0)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3">
      <c r="A212" s="185"/>
      <c r="B212" s="186"/>
      <c r="C212" s="186"/>
      <c r="D212" s="203"/>
      <c r="E212" s="204" t="s">
        <v>48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IFERROR(__xludf.DUMMYFUNCTION("IMPORTRANGE(""https://docs.google.com/spreadsheets/d/11923uPwbBZFjjGgGUA6NLw09EwE0CqkOc4q9oUmW1yo/edit?usp=sharing"",""พิจิตร!J137"")"),0)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3">
      <c r="A213" s="185"/>
      <c r="B213" s="186"/>
      <c r="C213" s="186"/>
      <c r="D213" s="203"/>
      <c r="E213" s="208"/>
      <c r="F213" s="205" t="s">
        <v>95</v>
      </c>
      <c r="G213" s="206"/>
      <c r="H213" s="190" t="s">
        <v>37</v>
      </c>
      <c r="I213" s="197">
        <f ca="1">IFERROR(__xludf.DUMMYFUNCTION("IMPORTRANGE(""https://docs.google.com/spreadsheets/d/11923uPwbBZFjjGgGUA6NLw09EwE0CqkOc4q9oUmW1yo/edit?usp=sharing"",""พิจิตร!I138"")"),0)</f>
        <v>0</v>
      </c>
      <c r="J213" s="213">
        <f ca="1">IFERROR(__xludf.DUMMYFUNCTION("IMPORTRANGE(""https://docs.google.com/spreadsheets/d/11923uPwbBZFjjGgGUA6NLw09EwE0CqkOc4q9oUmW1yo/edit?usp=sharing"",""พิจิตร!J138"")"),0)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3">
      <c r="A214" s="185"/>
      <c r="B214" s="186"/>
      <c r="C214" s="186"/>
      <c r="D214" s="203"/>
      <c r="E214" s="208"/>
      <c r="F214" s="204" t="s">
        <v>53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3">
      <c r="A215" s="185"/>
      <c r="B215" s="186"/>
      <c r="C215" s="186"/>
      <c r="D215" s="203"/>
      <c r="E215" s="208"/>
      <c r="F215" s="205"/>
      <c r="G215" s="235" t="s">
        <v>96</v>
      </c>
      <c r="H215" s="190" t="s">
        <v>37</v>
      </c>
      <c r="I215" s="197">
        <f ca="1">IFERROR(__xludf.DUMMYFUNCTION("IMPORTRANGE(""https://docs.google.com/spreadsheets/d/11923uPwbBZFjjGgGUA6NLw09EwE0CqkOc4q9oUmW1yo/edit?usp=sharing"",""พิจิตร!I140"")"),0)</f>
        <v>0</v>
      </c>
      <c r="J215" s="213">
        <f ca="1">IFERROR(__xludf.DUMMYFUNCTION("IMPORTRANGE(""https://docs.google.com/spreadsheets/d/11923uPwbBZFjjGgGUA6NLw09EwE0CqkOc4q9oUmW1yo/edit?usp=sharing"",""พิจิตร!J140"")"),0)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3">
      <c r="A216" s="185"/>
      <c r="B216" s="186"/>
      <c r="C216" s="186"/>
      <c r="D216" s="203"/>
      <c r="E216" s="208"/>
      <c r="F216" s="205"/>
      <c r="G216" s="235" t="s">
        <v>97</v>
      </c>
      <c r="H216" s="190" t="s">
        <v>59</v>
      </c>
      <c r="I216" s="197">
        <f ca="1">IFERROR(__xludf.DUMMYFUNCTION("IMPORTRANGE(""https://docs.google.com/spreadsheets/d/11923uPwbBZFjjGgGUA6NLw09EwE0CqkOc4q9oUmW1yo/edit?usp=sharing"",""พิจิตร!I141"")"),0)</f>
        <v>0</v>
      </c>
      <c r="J216" s="213">
        <f ca="1">IFERROR(__xludf.DUMMYFUNCTION("IMPORTRANGE(""https://docs.google.com/spreadsheets/d/11923uPwbBZFjjGgGUA6NLw09EwE0CqkOc4q9oUmW1yo/edit?usp=sharing"",""พิจิตร!J141"")"),0)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3">
      <c r="A217" s="185"/>
      <c r="B217" s="186"/>
      <c r="C217" s="186"/>
      <c r="D217" s="203"/>
      <c r="E217" s="204" t="s">
        <v>54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IFERROR(__xludf.DUMMYFUNCTION("IMPORTRANGE(""https://docs.google.com/spreadsheets/d/11923uPwbBZFjjGgGUA6NLw09EwE0CqkOc4q9oUmW1yo/edit?usp=sharing"",""พิจิตร!J142"")"),0)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3">
      <c r="A218" s="243"/>
      <c r="B218" s="244"/>
      <c r="C218" s="244"/>
      <c r="D218" s="245">
        <v>3</v>
      </c>
      <c r="E218" s="246" t="s">
        <v>55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IFERROR(__xludf.DUMMYFUNCTION("IMPORTRANGE(""https://docs.google.com/spreadsheets/d/11923uPwbBZFjjGgGUA6NLw09EwE0CqkOc4q9oUmW1yo/edit?usp=sharing"",""พิจิตร!J143"")"),0)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3">
      <c r="A219" s="271"/>
      <c r="B219" s="272" t="s">
        <v>98</v>
      </c>
      <c r="C219" s="273"/>
      <c r="D219" s="272"/>
      <c r="E219" s="272"/>
      <c r="F219" s="272"/>
      <c r="G219" s="274"/>
      <c r="H219" s="275" t="s">
        <v>37</v>
      </c>
      <c r="I219" s="276">
        <f ca="1">IFERROR(__xludf.DUMMYFUNCTION("IMPORTRANGE(""https://docs.google.com/spreadsheets/d/11923uPwbBZFjjGgGUA6NLw09EwE0CqkOc4q9oUmW1yo/edit?usp=sharing"",""พิจิตร!I144"")"),15)</f>
        <v>15</v>
      </c>
      <c r="J219" s="276">
        <f ca="1">IFERROR(__xludf.DUMMYFUNCTION("IMPORTRANGE(""https://docs.google.com/spreadsheets/d/11923uPwbBZFjjGgGUA6NLw09EwE0CqkOc4q9oUmW1yo/edit?usp=sharing"",""พิจิตร!J144"")"),15)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45">
      <c r="A220" s="152"/>
      <c r="B220" s="153"/>
      <c r="C220" s="154" t="s">
        <v>16</v>
      </c>
      <c r="D220" s="554" t="s">
        <v>17</v>
      </c>
      <c r="E220" s="545"/>
      <c r="F220" s="545"/>
      <c r="G220" s="545"/>
      <c r="H220" s="155" t="s">
        <v>12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0</v>
      </c>
      <c r="O220" s="157">
        <f t="shared" ref="O220:O222" ca="1" si="73">IF(L220&gt;0,N220*100/L220,0)</f>
        <v>0</v>
      </c>
      <c r="P220" s="157">
        <f t="shared" ref="P220:P222" ca="1" si="74">IF(M220&gt;0,N220*100/M220,0)</f>
        <v>0</v>
      </c>
    </row>
    <row r="221" spans="1:16" ht="21.75" customHeight="1" x14ac:dyDescent="0.45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45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0</v>
      </c>
      <c r="O222" s="162">
        <f t="shared" ca="1" si="73"/>
        <v>0</v>
      </c>
      <c r="P222" s="162">
        <f t="shared" ca="1" si="74"/>
        <v>0</v>
      </c>
    </row>
    <row r="223" spans="1:16" ht="21.75" customHeight="1" x14ac:dyDescent="0.3">
      <c r="A223" s="164"/>
      <c r="B223" s="165"/>
      <c r="C223" s="165" t="s">
        <v>16</v>
      </c>
      <c r="D223" s="166" t="s">
        <v>38</v>
      </c>
      <c r="E223" s="167"/>
      <c r="F223" s="167"/>
      <c r="G223" s="168" t="s">
        <v>39</v>
      </c>
      <c r="H223" s="169" t="s">
        <v>12</v>
      </c>
      <c r="I223" s="170" t="s">
        <v>40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3">
      <c r="A224" s="164"/>
      <c r="B224" s="165"/>
      <c r="C224" s="165"/>
      <c r="D224" s="174"/>
      <c r="E224" s="167"/>
      <c r="F224" s="167" t="s">
        <v>40</v>
      </c>
      <c r="G224" s="168" t="s">
        <v>41</v>
      </c>
      <c r="H224" s="169" t="s">
        <v>12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IFERROR(__xludf.DUMMYFUNCTION("IMPORTRANGE(""https://docs.google.com/spreadsheets/d/1Yj_ptqi66GCucihVvJfMjLAmec39IyEx_6qawtMGysU/edit?usp=sharing"",""สบก!BS27"")"),21125)</f>
        <v>21125</v>
      </c>
      <c r="N224" s="177">
        <f ca="1">IFERROR(__xludf.DUMMYFUNCTION("IMPORTRANGE(""https://docs.google.com/spreadsheets/d/1Yj_ptqi66GCucihVvJfMjLAmec39IyEx_6qawtMGysU/edit?usp=sharing"",""สบก!BT27"")"),0)</f>
        <v>0</v>
      </c>
      <c r="O224" s="178">
        <f ca="1">IF(L224&gt;0,N224*100/L224,0)</f>
        <v>0</v>
      </c>
      <c r="P224" s="178">
        <f ca="1">IF(M224&gt;0,N224*100/M224,0)</f>
        <v>0</v>
      </c>
    </row>
    <row r="225" spans="1:16" ht="21.75" customHeight="1" x14ac:dyDescent="0.3">
      <c r="A225" s="164"/>
      <c r="B225" s="165"/>
      <c r="C225" s="165"/>
      <c r="D225" s="174"/>
      <c r="E225" s="167"/>
      <c r="F225" s="167"/>
      <c r="G225" s="179" t="s">
        <v>42</v>
      </c>
      <c r="H225" s="169" t="s">
        <v>12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IFERROR(__xludf.DUMMYFUNCTION("IMPORTRANGE(""https://docs.google.com/spreadsheets/d/1Yj_ptqi66GCucihVvJfMjLAmec39IyEx_6qawtMGysU/edit?usp=sharing"",""สบก!BO27"")"),0)</f>
        <v>0</v>
      </c>
      <c r="M225" s="175"/>
      <c r="N225" s="175"/>
      <c r="O225" s="178"/>
      <c r="P225" s="178"/>
    </row>
    <row r="226" spans="1:16" ht="21.75" customHeight="1" x14ac:dyDescent="0.3">
      <c r="A226" s="164"/>
      <c r="B226" s="165"/>
      <c r="C226" s="165"/>
      <c r="D226" s="174"/>
      <c r="E226" s="167"/>
      <c r="F226" s="167"/>
      <c r="G226" s="179" t="s">
        <v>43</v>
      </c>
      <c r="H226" s="169" t="s">
        <v>12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IFERROR(__xludf.DUMMYFUNCTION("IMPORTRANGE(""https://docs.google.com/spreadsheets/d/1Yj_ptqi66GCucihVvJfMjLAmec39IyEx_6qawtMGysU/edit?usp=sharing"",""สบก!BP27"")"),21125)</f>
        <v>21125</v>
      </c>
      <c r="M226" s="175"/>
      <c r="N226" s="175"/>
      <c r="O226" s="178"/>
      <c r="P226" s="178"/>
    </row>
    <row r="227" spans="1:16" ht="21.75" customHeight="1" x14ac:dyDescent="0.45">
      <c r="A227" s="180"/>
      <c r="B227" s="83"/>
      <c r="C227" s="84" t="s">
        <v>16</v>
      </c>
      <c r="D227" s="551" t="s">
        <v>23</v>
      </c>
      <c r="E227" s="547"/>
      <c r="F227" s="91"/>
      <c r="G227" s="85" t="s">
        <v>18</v>
      </c>
      <c r="H227" s="181" t="s">
        <v>12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45">
      <c r="A228" s="182"/>
      <c r="B228" s="97"/>
      <c r="C228" s="97"/>
      <c r="D228" s="183"/>
      <c r="E228" s="98"/>
      <c r="F228" s="98"/>
      <c r="G228" s="99" t="s">
        <v>19</v>
      </c>
      <c r="H228" s="184" t="s">
        <v>12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IFERROR(__xludf.DUMMYFUNCTION("IMPORTRANGE(""https://docs.google.com/spreadsheets/d/1Yj_ptqi66GCucihVvJfMjLAmec39IyEx_6qawtMGysU/edit?usp=sharing"",""สบก!BQ27"")"),0)</f>
        <v>0</v>
      </c>
      <c r="M228" s="103"/>
      <c r="N228" s="93">
        <f ca="1">IFERROR(__xludf.DUMMYFUNCTION("IMPORTRANGE(""https://docs.google.com/spreadsheets/d/1Yj_ptqi66GCucihVvJfMjLAmec39IyEx_6qawtMGysU/edit?usp=sharing"",""สบก!BU27"")"),0)</f>
        <v>0</v>
      </c>
      <c r="O228" s="103">
        <f ca="1">IF(L228&gt;0,N228*100/L228,0)</f>
        <v>0</v>
      </c>
      <c r="P228" s="103"/>
    </row>
    <row r="229" spans="1:16" ht="21.75" customHeight="1" x14ac:dyDescent="0.3">
      <c r="A229" s="185"/>
      <c r="B229" s="299"/>
      <c r="C229" s="273" t="s">
        <v>99</v>
      </c>
      <c r="D229" s="272"/>
      <c r="E229" s="272"/>
      <c r="F229" s="272"/>
      <c r="G229" s="274"/>
      <c r="H229" s="275" t="s">
        <v>37</v>
      </c>
      <c r="I229" s="276">
        <f ca="1">IFERROR(__xludf.DUMMYFUNCTION("IMPORTRANGE(""https://docs.google.com/spreadsheets/d/11923uPwbBZFjjGgGUA6NLw09EwE0CqkOc4q9oUmW1yo/edit?usp=sharing"",""พิจิตร!I149"")"),15)</f>
        <v>15</v>
      </c>
      <c r="J229" s="276">
        <f ca="1">IFERROR(__xludf.DUMMYFUNCTION("IMPORTRANGE(""https://docs.google.com/spreadsheets/d/11923uPwbBZFjjGgGUA6NLw09EwE0CqkOc4q9oUmW1yo/edit?usp=sharing"",""พิจิตร!J149"")"),15)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3">
      <c r="A230" s="185"/>
      <c r="B230" s="186"/>
      <c r="C230" s="165" t="s">
        <v>16</v>
      </c>
      <c r="D230" s="187" t="s">
        <v>44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3">
      <c r="A231" s="185"/>
      <c r="B231" s="186"/>
      <c r="C231" s="186"/>
      <c r="D231" s="192">
        <v>1</v>
      </c>
      <c r="E231" s="193" t="s">
        <v>45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IFERROR(__xludf.DUMMYFUNCTION("IMPORTRANGE(""https://docs.google.com/spreadsheets/d/11923uPwbBZFjjGgGUA6NLw09EwE0CqkOc4q9oUmW1yo/edit?usp=sharing"",""พิจิตร!J151"")"),0)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3">
      <c r="A232" s="185"/>
      <c r="B232" s="186"/>
      <c r="C232" s="186"/>
      <c r="D232" s="199">
        <v>2</v>
      </c>
      <c r="E232" s="200" t="s">
        <v>46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IFERROR(__xludf.DUMMYFUNCTION("IMPORTRANGE(""https://docs.google.com/spreadsheets/d/11923uPwbBZFjjGgGUA6NLw09EwE0CqkOc4q9oUmW1yo/edit?usp=sharing"",""พิจิตร!J152"")"),1)</f>
        <v>1</v>
      </c>
      <c r="K232" s="171"/>
      <c r="L232" s="191" t="s">
        <v>40</v>
      </c>
      <c r="M232" s="191"/>
      <c r="N232" s="191" t="s">
        <v>40</v>
      </c>
      <c r="O232" s="191"/>
      <c r="P232" s="191"/>
    </row>
    <row r="233" spans="1:16" ht="21.75" customHeight="1" x14ac:dyDescent="0.3">
      <c r="A233" s="185"/>
      <c r="B233" s="186"/>
      <c r="C233" s="186"/>
      <c r="D233" s="203"/>
      <c r="E233" s="204" t="s">
        <v>47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IFERROR(__xludf.DUMMYFUNCTION("IMPORTRANGE(""https://docs.google.com/spreadsheets/d/11923uPwbBZFjjGgGUA6NLw09EwE0CqkOc4q9oUmW1yo/edit?usp=sharing"",""พิจิตร!J153"")"),1)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3">
      <c r="A234" s="185"/>
      <c r="B234" s="186"/>
      <c r="C234" s="186"/>
      <c r="D234" s="203"/>
      <c r="E234" s="204" t="s">
        <v>48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IFERROR(__xludf.DUMMYFUNCTION("IMPORTRANGE(""https://docs.google.com/spreadsheets/d/11923uPwbBZFjjGgGUA6NLw09EwE0CqkOc4q9oUmW1yo/edit?usp=sharing"",""พิจิตร!J154"")"),1)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3">
      <c r="A235" s="185"/>
      <c r="B235" s="186"/>
      <c r="C235" s="186"/>
      <c r="D235" s="203"/>
      <c r="E235" s="208"/>
      <c r="F235" s="205"/>
      <c r="G235" s="301" t="s">
        <v>70</v>
      </c>
      <c r="H235" s="196" t="s">
        <v>37</v>
      </c>
      <c r="I235" s="197">
        <f ca="1">IFERROR(__xludf.DUMMYFUNCTION("IMPORTRANGE(""https://docs.google.com/spreadsheets/d/11923uPwbBZFjjGgGUA6NLw09EwE0CqkOc4q9oUmW1yo/edit?usp=sharing"",""พิจิตร!I155"")"),15)</f>
        <v>15</v>
      </c>
      <c r="J235" s="198">
        <f ca="1">IFERROR(__xludf.DUMMYFUNCTION("IMPORTRANGE(""https://docs.google.com/spreadsheets/d/11923uPwbBZFjjGgGUA6NLw09EwE0CqkOc4q9oUmW1yo/edit?usp=sharing"",""พิจิตร!J155"")"),15)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3">
      <c r="A236" s="185"/>
      <c r="B236" s="186"/>
      <c r="C236" s="186"/>
      <c r="D236" s="203"/>
      <c r="E236" s="204" t="s">
        <v>54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IFERROR(__xludf.DUMMYFUNCTION("IMPORTRANGE(""https://docs.google.com/spreadsheets/d/11923uPwbBZFjjGgGUA6NLw09EwE0CqkOc4q9oUmW1yo/edit?usp=sharing"",""พิจิตร!J156"")"),0)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3">
      <c r="A237" s="185"/>
      <c r="B237" s="186"/>
      <c r="C237" s="186"/>
      <c r="D237" s="215">
        <v>3</v>
      </c>
      <c r="E237" s="216" t="s">
        <v>55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IFERROR(__xludf.DUMMYFUNCTION("IMPORTRANGE(""https://docs.google.com/spreadsheets/d/11923uPwbBZFjjGgGUA6NLw09EwE0CqkOc4q9oUmW1yo/edit?usp=sharing"",""พิจิตร!J157"")"),0)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3">
      <c r="A238" s="185"/>
      <c r="B238" s="186"/>
      <c r="C238" s="273" t="s">
        <v>100</v>
      </c>
      <c r="D238" s="302"/>
      <c r="E238" s="272"/>
      <c r="F238" s="272"/>
      <c r="G238" s="274"/>
      <c r="H238" s="275" t="s">
        <v>37</v>
      </c>
      <c r="I238" s="276">
        <f ca="1">IFERROR(__xludf.DUMMYFUNCTION("IMPORTRANGE(""https://docs.google.com/spreadsheets/d/11923uPwbBZFjjGgGUA6NLw09EwE0CqkOc4q9oUmW1yo/edit?usp=sharing"",""พิจิตร!I158"")"),0)</f>
        <v>0</v>
      </c>
      <c r="J238" s="276">
        <f ca="1">IFERROR(__xludf.DUMMYFUNCTION("IMPORTRANGE(""https://docs.google.com/spreadsheets/d/11923uPwbBZFjjGgGUA6NLw09EwE0CqkOc4q9oUmW1yo/edit?usp=sharing"",""พิจิตร!J158"")"),0)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3">
      <c r="A239" s="185"/>
      <c r="B239" s="186"/>
      <c r="C239" s="165" t="s">
        <v>16</v>
      </c>
      <c r="D239" s="187" t="s">
        <v>44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3">
      <c r="A240" s="185"/>
      <c r="B240" s="186"/>
      <c r="C240" s="186"/>
      <c r="D240" s="192">
        <v>1</v>
      </c>
      <c r="E240" s="193" t="s">
        <v>45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IFERROR(__xludf.DUMMYFUNCTION("IMPORTRANGE(""https://docs.google.com/spreadsheets/d/11923uPwbBZFjjGgGUA6NLw09EwE0CqkOc4q9oUmW1yo/edit?usp=sharing"",""พิจิตร!J159"")"),"")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3">
      <c r="A241" s="185"/>
      <c r="B241" s="186"/>
      <c r="C241" s="186"/>
      <c r="D241" s="199">
        <v>2</v>
      </c>
      <c r="E241" s="200" t="s">
        <v>46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IFERROR(__xludf.DUMMYFUNCTION("IMPORTRANGE(""https://docs.google.com/spreadsheets/d/11923uPwbBZFjjGgGUA6NLw09EwE0CqkOc4q9oUmW1yo/edit?usp=sharing"",""พิจิตร!J161"")"),0)</f>
        <v>0</v>
      </c>
      <c r="K241" s="171"/>
      <c r="L241" s="191" t="s">
        <v>40</v>
      </c>
      <c r="M241" s="191"/>
      <c r="N241" s="191" t="s">
        <v>40</v>
      </c>
      <c r="O241" s="191"/>
      <c r="P241" s="191"/>
    </row>
    <row r="242" spans="1:16" ht="21.75" customHeight="1" x14ac:dyDescent="0.3">
      <c r="A242" s="185"/>
      <c r="B242" s="186"/>
      <c r="C242" s="186"/>
      <c r="D242" s="203"/>
      <c r="E242" s="204" t="s">
        <v>47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IFERROR(__xludf.DUMMYFUNCTION("IMPORTRANGE(""https://docs.google.com/spreadsheets/d/11923uPwbBZFjjGgGUA6NLw09EwE0CqkOc4q9oUmW1yo/edit?usp=sharing"",""พิจิตร!J162"")"),0)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3">
      <c r="A243" s="185"/>
      <c r="B243" s="186"/>
      <c r="C243" s="186"/>
      <c r="D243" s="203"/>
      <c r="E243" s="204" t="s">
        <v>48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IFERROR(__xludf.DUMMYFUNCTION("IMPORTRANGE(""https://docs.google.com/spreadsheets/d/11923uPwbBZFjjGgGUA6NLw09EwE0CqkOc4q9oUmW1yo/edit?usp=sharing"",""พิจิตร!J163"")"),0)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3">
      <c r="A244" s="185"/>
      <c r="B244" s="186"/>
      <c r="C244" s="186"/>
      <c r="D244" s="203"/>
      <c r="E244" s="205"/>
      <c r="F244" s="204" t="s">
        <v>101</v>
      </c>
      <c r="G244" s="205"/>
      <c r="H244" s="196" t="s">
        <v>37</v>
      </c>
      <c r="I244" s="213">
        <f ca="1">IFERROR(__xludf.DUMMYFUNCTION("IMPORTRANGE(""https://docs.google.com/spreadsheets/d/11923uPwbBZFjjGgGUA6NLw09EwE0CqkOc4q9oUmW1yo/edit?usp=sharing"",""พิจิตร!I164"")"),0)</f>
        <v>0</v>
      </c>
      <c r="J244" s="197">
        <f ca="1">IFERROR(__xludf.DUMMYFUNCTION("IMPORTRANGE(""https://docs.google.com/spreadsheets/d/11923uPwbBZFjjGgGUA6NLw09EwE0CqkOc4q9oUmW1yo/edit?usp=sharing"",""พิจิตร!J164"")"),0)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3">
      <c r="A245" s="185"/>
      <c r="B245" s="186"/>
      <c r="C245" s="186"/>
      <c r="D245" s="203"/>
      <c r="E245" s="204" t="s">
        <v>54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IFERROR(__xludf.DUMMYFUNCTION("IMPORTRANGE(""https://docs.google.com/spreadsheets/d/11923uPwbBZFjjGgGUA6NLw09EwE0CqkOc4q9oUmW1yo/edit?usp=sharing"",""พิจิตร!J165"")"),0)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3">
      <c r="A246" s="243"/>
      <c r="B246" s="244"/>
      <c r="C246" s="244"/>
      <c r="D246" s="245">
        <v>3</v>
      </c>
      <c r="E246" s="246" t="s">
        <v>55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IFERROR(__xludf.DUMMYFUNCTION("IMPORTRANGE(""https://docs.google.com/spreadsheets/d/11923uPwbBZFjjGgGUA6NLw09EwE0CqkOc4q9oUmW1yo/edit?usp=sharing"",""พิจิตร!J166"")"),0)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3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3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3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IFERROR(__xludf.DUMMYFUNCTION("IMPORTRANGE(""https://docs.google.com/spreadsheets/d/11923uPwbBZFjjGgGUA6NLw09EwE0CqkOc4q9oUmW1yo/edit?usp=sharing"",""พิจิตร!I169"")"),0)</f>
        <v>0</v>
      </c>
      <c r="J249" s="324">
        <f ca="1">IFERROR(__xludf.DUMMYFUNCTION("IMPORTRANGE(""https://docs.google.com/spreadsheets/d/11923uPwbBZFjjGgGUA6NLw09EwE0CqkOc4q9oUmW1yo/edit?usp=sharing"",""พิจิตร!J169"")"),0)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45">
      <c r="A250" s="152"/>
      <c r="B250" s="153"/>
      <c r="C250" s="154" t="s">
        <v>16</v>
      </c>
      <c r="D250" s="554" t="s">
        <v>17</v>
      </c>
      <c r="E250" s="545"/>
      <c r="F250" s="545"/>
      <c r="G250" s="545"/>
      <c r="H250" s="155" t="s">
        <v>12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45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45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3">
      <c r="A253" s="164"/>
      <c r="B253" s="165"/>
      <c r="C253" s="165" t="s">
        <v>16</v>
      </c>
      <c r="D253" s="166" t="s">
        <v>38</v>
      </c>
      <c r="E253" s="167"/>
      <c r="F253" s="167"/>
      <c r="G253" s="168" t="s">
        <v>39</v>
      </c>
      <c r="H253" s="169" t="s">
        <v>12</v>
      </c>
      <c r="I253" s="170" t="s">
        <v>40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3">
      <c r="A254" s="164"/>
      <c r="B254" s="165"/>
      <c r="C254" s="165"/>
      <c r="D254" s="174"/>
      <c r="E254" s="167"/>
      <c r="F254" s="167" t="s">
        <v>40</v>
      </c>
      <c r="G254" s="168" t="s">
        <v>41</v>
      </c>
      <c r="H254" s="169" t="s">
        <v>12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IFERROR(__xludf.DUMMYFUNCTION("IMPORTRANGE(""https://docs.google.com/spreadsheets/d/1Yj_ptqi66GCucihVvJfMjLAmec39IyEx_6qawtMGysU/edit?usp=sharing"",""สบก!CB27"")"),0)</f>
        <v>0</v>
      </c>
      <c r="N254" s="177">
        <f ca="1">IFERROR(__xludf.DUMMYFUNCTION("IMPORTRANGE(""https://docs.google.com/spreadsheets/d/1Yj_ptqi66GCucihVvJfMjLAmec39IyEx_6qawtMGysU/edit?usp=sharing"",""สบก!CC27"")"),0)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3">
      <c r="A255" s="164"/>
      <c r="B255" s="165"/>
      <c r="C255" s="165"/>
      <c r="D255" s="174"/>
      <c r="E255" s="167"/>
      <c r="F255" s="167"/>
      <c r="G255" s="179" t="s">
        <v>42</v>
      </c>
      <c r="H255" s="169" t="s">
        <v>12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IFERROR(__xludf.DUMMYFUNCTION("IMPORTRANGE(""https://docs.google.com/spreadsheets/d/1Yj_ptqi66GCucihVvJfMjLAmec39IyEx_6qawtMGysU/edit?usp=sharing"",""สบก!BX27"")"),0)</f>
        <v>0</v>
      </c>
      <c r="M255" s="175"/>
      <c r="N255" s="175"/>
      <c r="O255" s="178"/>
      <c r="P255" s="178"/>
    </row>
    <row r="256" spans="1:16" ht="21.75" customHeight="1" x14ac:dyDescent="0.3">
      <c r="A256" s="164"/>
      <c r="B256" s="165"/>
      <c r="C256" s="165"/>
      <c r="D256" s="174"/>
      <c r="E256" s="167"/>
      <c r="F256" s="167"/>
      <c r="G256" s="179" t="s">
        <v>43</v>
      </c>
      <c r="H256" s="169" t="s">
        <v>12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IFERROR(__xludf.DUMMYFUNCTION("IMPORTRANGE(""https://docs.google.com/spreadsheets/d/1Yj_ptqi66GCucihVvJfMjLAmec39IyEx_6qawtMGysU/edit?usp=sharing"",""สบก!BY27"")"),0)</f>
        <v>0</v>
      </c>
      <c r="M256" s="175"/>
      <c r="N256" s="175"/>
      <c r="O256" s="178"/>
      <c r="P256" s="178"/>
    </row>
    <row r="257" spans="1:16" ht="21.75" customHeight="1" x14ac:dyDescent="0.45">
      <c r="A257" s="180"/>
      <c r="B257" s="83"/>
      <c r="C257" s="84" t="s">
        <v>16</v>
      </c>
      <c r="D257" s="551" t="s">
        <v>23</v>
      </c>
      <c r="E257" s="547"/>
      <c r="F257" s="91"/>
      <c r="G257" s="85" t="s">
        <v>18</v>
      </c>
      <c r="H257" s="181" t="s">
        <v>12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45">
      <c r="A258" s="182"/>
      <c r="B258" s="97"/>
      <c r="C258" s="97"/>
      <c r="D258" s="183"/>
      <c r="E258" s="98"/>
      <c r="F258" s="98"/>
      <c r="G258" s="99" t="s">
        <v>19</v>
      </c>
      <c r="H258" s="184" t="s">
        <v>12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IFERROR(__xludf.DUMMYFUNCTION("IMPORTRANGE(""https://docs.google.com/spreadsheets/d/1Yj_ptqi66GCucihVvJfMjLAmec39IyEx_6qawtMGysU/edit?usp=sharing"",""สบก!BZ27"")"),0)</f>
        <v>0</v>
      </c>
      <c r="M258" s="103"/>
      <c r="N258" s="93">
        <f ca="1">IFERROR(__xludf.DUMMYFUNCTION("IMPORTRANGE(""https://docs.google.com/spreadsheets/d/1Yj_ptqi66GCucihVvJfMjLAmec39IyEx_6qawtMGysU/edit?usp=sharing"",""สบก!CD27"")"),0)</f>
        <v>0</v>
      </c>
      <c r="O258" s="103">
        <f ca="1">IF(L258&gt;0,N258*100/L258,0)</f>
        <v>0</v>
      </c>
      <c r="P258" s="103"/>
    </row>
    <row r="259" spans="1:16" ht="21.75" customHeight="1" x14ac:dyDescent="0.3">
      <c r="A259" s="185"/>
      <c r="B259" s="186"/>
      <c r="C259" s="165" t="s">
        <v>16</v>
      </c>
      <c r="D259" s="187" t="s">
        <v>44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3">
      <c r="A260" s="185"/>
      <c r="B260" s="186"/>
      <c r="C260" s="186"/>
      <c r="D260" s="192">
        <v>1</v>
      </c>
      <c r="E260" s="193" t="s">
        <v>45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IFERROR(__xludf.DUMMYFUNCTION("IMPORTRANGE(""https://docs.google.com/spreadsheets/d/11923uPwbBZFjjGgGUA6NLw09EwE0CqkOc4q9oUmW1yo/edit?usp=sharing"",""พิจิตร!J175"")"),0)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3">
      <c r="A261" s="185"/>
      <c r="B261" s="186"/>
      <c r="C261" s="186"/>
      <c r="D261" s="199">
        <v>2</v>
      </c>
      <c r="E261" s="200" t="s">
        <v>46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IFERROR(__xludf.DUMMYFUNCTION("IMPORTRANGE(""https://docs.google.com/spreadsheets/d/11923uPwbBZFjjGgGUA6NLw09EwE0CqkOc4q9oUmW1yo/edit?usp=sharing"",""พิจิตร!J176"")"),0)</f>
        <v>0</v>
      </c>
      <c r="K261" s="171"/>
      <c r="L261" s="191" t="s">
        <v>40</v>
      </c>
      <c r="M261" s="191"/>
      <c r="N261" s="191" t="s">
        <v>40</v>
      </c>
      <c r="O261" s="191"/>
      <c r="P261" s="191"/>
    </row>
    <row r="262" spans="1:16" ht="21.75" customHeight="1" x14ac:dyDescent="0.3">
      <c r="A262" s="185"/>
      <c r="B262" s="186"/>
      <c r="C262" s="186"/>
      <c r="D262" s="203"/>
      <c r="E262" s="204" t="s">
        <v>47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IFERROR(__xludf.DUMMYFUNCTION("IMPORTRANGE(""https://docs.google.com/spreadsheets/d/11923uPwbBZFjjGgGUA6NLw09EwE0CqkOc4q9oUmW1yo/edit?usp=sharing"",""พิจิตร!J177"")"),0)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3">
      <c r="A263" s="185"/>
      <c r="B263" s="186"/>
      <c r="C263" s="186"/>
      <c r="D263" s="203"/>
      <c r="E263" s="204" t="s">
        <v>48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IFERROR(__xludf.DUMMYFUNCTION("IMPORTRANGE(""https://docs.google.com/spreadsheets/d/11923uPwbBZFjjGgGUA6NLw09EwE0CqkOc4q9oUmW1yo/edit?usp=sharing"",""พิจิตร!J178"")"),0)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3">
      <c r="A264" s="185"/>
      <c r="B264" s="186"/>
      <c r="C264" s="186"/>
      <c r="D264" s="203"/>
      <c r="E264" s="208"/>
      <c r="F264" s="204" t="s">
        <v>105</v>
      </c>
      <c r="G264" s="206"/>
      <c r="H264" s="190" t="s">
        <v>59</v>
      </c>
      <c r="I264" s="197">
        <f ca="1">IFERROR(__xludf.DUMMYFUNCTION("IMPORTRANGE(""https://docs.google.com/spreadsheets/d/11923uPwbBZFjjGgGUA6NLw09EwE0CqkOc4q9oUmW1yo/edit?usp=sharing"",""พิจิตร!I179"")"),0)</f>
        <v>0</v>
      </c>
      <c r="J264" s="198">
        <f ca="1">IFERROR(__xludf.DUMMYFUNCTION("IMPORTRANGE(""https://docs.google.com/spreadsheets/d/11923uPwbBZFjjGgGUA6NLw09EwE0CqkOc4q9oUmW1yo/edit?usp=sharing"",""พิจิตร!J179"")"),0)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3">
      <c r="A265" s="185"/>
      <c r="B265" s="186"/>
      <c r="C265" s="186"/>
      <c r="D265" s="203"/>
      <c r="E265" s="208"/>
      <c r="F265" s="204" t="s">
        <v>106</v>
      </c>
      <c r="G265" s="206"/>
      <c r="H265" s="190" t="s">
        <v>37</v>
      </c>
      <c r="I265" s="197">
        <f ca="1">IFERROR(__xludf.DUMMYFUNCTION("IMPORTRANGE(""https://docs.google.com/spreadsheets/d/11923uPwbBZFjjGgGUA6NLw09EwE0CqkOc4q9oUmW1yo/edit?usp=sharing"",""พิจิตร!I180"")"),0)</f>
        <v>0</v>
      </c>
      <c r="J265" s="198">
        <f ca="1">IFERROR(__xludf.DUMMYFUNCTION("IMPORTRANGE(""https://docs.google.com/spreadsheets/d/11923uPwbBZFjjGgGUA6NLw09EwE0CqkOc4q9oUmW1yo/edit?usp=sharing"",""พิจิตร!J180"")"),0)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3">
      <c r="A266" s="185"/>
      <c r="B266" s="186"/>
      <c r="C266" s="186"/>
      <c r="D266" s="203"/>
      <c r="E266" s="208"/>
      <c r="F266" s="204" t="s">
        <v>107</v>
      </c>
      <c r="G266" s="206"/>
      <c r="H266" s="190" t="s">
        <v>37</v>
      </c>
      <c r="I266" s="197">
        <f ca="1">IFERROR(__xludf.DUMMYFUNCTION("IMPORTRANGE(""https://docs.google.com/spreadsheets/d/11923uPwbBZFjjGgGUA6NLw09EwE0CqkOc4q9oUmW1yo/edit?usp=sharing"",""พิจิตร!I181"")"),0)</f>
        <v>0</v>
      </c>
      <c r="J266" s="198">
        <f ca="1">IFERROR(__xludf.DUMMYFUNCTION("IMPORTRANGE(""https://docs.google.com/spreadsheets/d/11923uPwbBZFjjGgGUA6NLw09EwE0CqkOc4q9oUmW1yo/edit?usp=sharing"",""พิจิตร!J181"")"),0)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3">
      <c r="A267" s="185"/>
      <c r="B267" s="186"/>
      <c r="C267" s="186"/>
      <c r="D267" s="203"/>
      <c r="E267" s="208"/>
      <c r="F267" s="204" t="s">
        <v>108</v>
      </c>
      <c r="G267" s="206"/>
      <c r="H267" s="190" t="s">
        <v>37</v>
      </c>
      <c r="I267" s="197">
        <f ca="1">IFERROR(__xludf.DUMMYFUNCTION("IMPORTRANGE(""https://docs.google.com/spreadsheets/d/11923uPwbBZFjjGgGUA6NLw09EwE0CqkOc4q9oUmW1yo/edit?usp=sharing"",""พิจิตร!I182"")"),0)</f>
        <v>0</v>
      </c>
      <c r="J267" s="198">
        <f ca="1">IFERROR(__xludf.DUMMYFUNCTION("IMPORTRANGE(""https://docs.google.com/spreadsheets/d/11923uPwbBZFjjGgGUA6NLw09EwE0CqkOc4q9oUmW1yo/edit?usp=sharing"",""พิจิตร!J182"")"),0)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3">
      <c r="A268" s="185"/>
      <c r="B268" s="186"/>
      <c r="C268" s="186"/>
      <c r="D268" s="203"/>
      <c r="E268" s="204" t="s">
        <v>54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IFERROR(__xludf.DUMMYFUNCTION("IMPORTRANGE(""https://docs.google.com/spreadsheets/d/11923uPwbBZFjjGgGUA6NLw09EwE0CqkOc4q9oUmW1yo/edit?usp=sharing"",""พิจิตร!J183"")"),0)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3">
      <c r="A269" s="243"/>
      <c r="B269" s="244"/>
      <c r="C269" s="244"/>
      <c r="D269" s="245">
        <v>3</v>
      </c>
      <c r="E269" s="246" t="s">
        <v>55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IFERROR(__xludf.DUMMYFUNCTION("IMPORTRANGE(""https://docs.google.com/spreadsheets/d/11923uPwbBZFjjGgGUA6NLw09EwE0CqkOc4q9oUmW1yo/edit?usp=sharing"",""พิจิตร!J184"")"),0)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3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IFERROR(__xludf.DUMMYFUNCTION("IMPORTRANGE(""https://docs.google.com/spreadsheets/d/11923uPwbBZFjjGgGUA6NLw09EwE0CqkOc4q9oUmW1yo/edit?usp=sharing"",""พิจิตร!I185"")"),0)</f>
        <v>0</v>
      </c>
      <c r="J270" s="324">
        <f ca="1">IFERROR(__xludf.DUMMYFUNCTION("IMPORTRANGE(""https://docs.google.com/spreadsheets/d/11923uPwbBZFjjGgGUA6NLw09EwE0CqkOc4q9oUmW1yo/edit?usp=sharing"",""พิจิตร!J185"")"),0)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45">
      <c r="A271" s="152"/>
      <c r="B271" s="153"/>
      <c r="C271" s="154" t="s">
        <v>16</v>
      </c>
      <c r="D271" s="554" t="s">
        <v>17</v>
      </c>
      <c r="E271" s="545"/>
      <c r="F271" s="545"/>
      <c r="G271" s="545"/>
      <c r="H271" s="155" t="s">
        <v>12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45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45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3">
      <c r="A274" s="164"/>
      <c r="B274" s="165"/>
      <c r="C274" s="165" t="s">
        <v>16</v>
      </c>
      <c r="D274" s="166" t="s">
        <v>38</v>
      </c>
      <c r="E274" s="167"/>
      <c r="F274" s="167"/>
      <c r="G274" s="168" t="s">
        <v>39</v>
      </c>
      <c r="H274" s="169" t="s">
        <v>12</v>
      </c>
      <c r="I274" s="170" t="s">
        <v>40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3">
      <c r="A275" s="164"/>
      <c r="B275" s="165"/>
      <c r="C275" s="165"/>
      <c r="D275" s="174"/>
      <c r="E275" s="167"/>
      <c r="F275" s="167" t="s">
        <v>40</v>
      </c>
      <c r="G275" s="168" t="s">
        <v>41</v>
      </c>
      <c r="H275" s="169" t="s">
        <v>12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IFERROR(__xludf.DUMMYFUNCTION("IMPORTRANGE(""https://docs.google.com/spreadsheets/d/1Yj_ptqi66GCucihVvJfMjLAmec39IyEx_6qawtMGysU/edit?usp=sharing"",""สบก!CK27"")"),0)</f>
        <v>0</v>
      </c>
      <c r="N275" s="177">
        <f ca="1">IFERROR(__xludf.DUMMYFUNCTION("IMPORTRANGE(""https://docs.google.com/spreadsheets/d/1Yj_ptqi66GCucihVvJfMjLAmec39IyEx_6qawtMGysU/edit?usp=sharing"",""สบก!CL27"")"),0)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3">
      <c r="A276" s="164"/>
      <c r="B276" s="165"/>
      <c r="C276" s="165"/>
      <c r="D276" s="174"/>
      <c r="E276" s="167"/>
      <c r="F276" s="167"/>
      <c r="G276" s="179" t="s">
        <v>42</v>
      </c>
      <c r="H276" s="169" t="s">
        <v>12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IFERROR(__xludf.DUMMYFUNCTION("IMPORTRANGE(""https://docs.google.com/spreadsheets/d/1Yj_ptqi66GCucihVvJfMjLAmec39IyEx_6qawtMGysU/edit?usp=sharing"",""สบก!CG27"")"),0)</f>
        <v>0</v>
      </c>
      <c r="M276" s="175"/>
      <c r="N276" s="175"/>
      <c r="O276" s="178"/>
      <c r="P276" s="178"/>
    </row>
    <row r="277" spans="1:16" ht="21.75" customHeight="1" x14ac:dyDescent="0.3">
      <c r="A277" s="164"/>
      <c r="B277" s="165"/>
      <c r="C277" s="165"/>
      <c r="D277" s="174"/>
      <c r="E277" s="167"/>
      <c r="F277" s="167"/>
      <c r="G277" s="179" t="s">
        <v>43</v>
      </c>
      <c r="H277" s="169" t="s">
        <v>12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IFERROR(__xludf.DUMMYFUNCTION("IMPORTRANGE(""https://docs.google.com/spreadsheets/d/1Yj_ptqi66GCucihVvJfMjLAmec39IyEx_6qawtMGysU/edit?usp=sharing"",""สบก!CH27"")"),0)</f>
        <v>0</v>
      </c>
      <c r="M277" s="175"/>
      <c r="N277" s="175"/>
      <c r="O277" s="178"/>
      <c r="P277" s="178"/>
    </row>
    <row r="278" spans="1:16" ht="21.75" customHeight="1" x14ac:dyDescent="0.45">
      <c r="A278" s="180"/>
      <c r="B278" s="83"/>
      <c r="C278" s="84" t="s">
        <v>16</v>
      </c>
      <c r="D278" s="551" t="s">
        <v>23</v>
      </c>
      <c r="E278" s="547"/>
      <c r="F278" s="91"/>
      <c r="G278" s="85" t="s">
        <v>18</v>
      </c>
      <c r="H278" s="181" t="s">
        <v>12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45">
      <c r="A279" s="182"/>
      <c r="B279" s="97"/>
      <c r="C279" s="97"/>
      <c r="D279" s="183"/>
      <c r="E279" s="98"/>
      <c r="F279" s="98"/>
      <c r="G279" s="99" t="s">
        <v>19</v>
      </c>
      <c r="H279" s="184" t="s">
        <v>12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IFERROR(__xludf.DUMMYFUNCTION("IMPORTRANGE(""https://docs.google.com/spreadsheets/d/1Yj_ptqi66GCucihVvJfMjLAmec39IyEx_6qawtMGysU/edit?usp=sharing"",""สบก!CI27"")"),0)</f>
        <v>0</v>
      </c>
      <c r="M279" s="103"/>
      <c r="N279" s="93">
        <f ca="1">IFERROR(__xludf.DUMMYFUNCTION("IMPORTRANGE(""https://docs.google.com/spreadsheets/d/1Yj_ptqi66GCucihVvJfMjLAmec39IyEx_6qawtMGysU/edit?usp=sharing"",""สบก!CM27"")"),0)</f>
        <v>0</v>
      </c>
      <c r="O279" s="103">
        <f ca="1">IF(L279&gt;0,N279*100/L279,0)</f>
        <v>0</v>
      </c>
      <c r="P279" s="103"/>
    </row>
    <row r="280" spans="1:16" ht="21.75" customHeight="1" x14ac:dyDescent="0.3">
      <c r="A280" s="185"/>
      <c r="B280" s="186"/>
      <c r="C280" s="165" t="s">
        <v>16</v>
      </c>
      <c r="D280" s="187" t="s">
        <v>44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3">
      <c r="A281" s="185"/>
      <c r="B281" s="186"/>
      <c r="C281" s="186"/>
      <c r="D281" s="192">
        <v>1</v>
      </c>
      <c r="E281" s="193" t="s">
        <v>45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IFERROR(__xludf.DUMMYFUNCTION("IMPORTRANGE(""https://docs.google.com/spreadsheets/d/11923uPwbBZFjjGgGUA6NLw09EwE0CqkOc4q9oUmW1yo/edit?usp=sharing"",""พิจิตร!J191"")"),0)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3">
      <c r="A282" s="185"/>
      <c r="B282" s="186"/>
      <c r="C282" s="186"/>
      <c r="D282" s="199">
        <v>2</v>
      </c>
      <c r="E282" s="200" t="s">
        <v>46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IFERROR(__xludf.DUMMYFUNCTION("IMPORTRANGE(""https://docs.google.com/spreadsheets/d/11923uPwbBZFjjGgGUA6NLw09EwE0CqkOc4q9oUmW1yo/edit?usp=sharing"",""พิจิตร!J192"")"),0)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3">
      <c r="A283" s="185"/>
      <c r="B283" s="186"/>
      <c r="C283" s="186"/>
      <c r="D283" s="203"/>
      <c r="E283" s="204" t="s">
        <v>47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IFERROR(__xludf.DUMMYFUNCTION("IMPORTRANGE(""https://docs.google.com/spreadsheets/d/11923uPwbBZFjjGgGUA6NLw09EwE0CqkOc4q9oUmW1yo/edit?usp=sharing"",""พิจิตร!J193"")"),0)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3">
      <c r="A284" s="185"/>
      <c r="B284" s="186"/>
      <c r="C284" s="186"/>
      <c r="D284" s="203"/>
      <c r="E284" s="204" t="s">
        <v>48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IFERROR(__xludf.DUMMYFUNCTION("IMPORTRANGE(""https://docs.google.com/spreadsheets/d/11923uPwbBZFjjGgGUA6NLw09EwE0CqkOc4q9oUmW1yo/edit?usp=sharing"",""พิจิตร!J194"")"),0)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3">
      <c r="A285" s="185"/>
      <c r="B285" s="186"/>
      <c r="C285" s="186"/>
      <c r="D285" s="203"/>
      <c r="E285" s="205"/>
      <c r="F285" s="204" t="s">
        <v>110</v>
      </c>
      <c r="G285" s="206"/>
      <c r="H285" s="196" t="s">
        <v>37</v>
      </c>
      <c r="I285" s="197">
        <f ca="1">IFERROR(__xludf.DUMMYFUNCTION("IMPORTRANGE(""https://docs.google.com/spreadsheets/d/11923uPwbBZFjjGgGUA6NLw09EwE0CqkOc4q9oUmW1yo/edit?usp=sharing"",""พิจิตร!I195"")"),0)</f>
        <v>0</v>
      </c>
      <c r="J285" s="198">
        <f ca="1">IFERROR(__xludf.DUMMYFUNCTION("IMPORTRANGE(""https://docs.google.com/spreadsheets/d/11923uPwbBZFjjGgGUA6NLw09EwE0CqkOc4q9oUmW1yo/edit?usp=sharing"",""พิจิตร!J195"")"),0)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3">
      <c r="A286" s="185"/>
      <c r="B286" s="186"/>
      <c r="C286" s="186"/>
      <c r="D286" s="203"/>
      <c r="E286" s="204" t="s">
        <v>54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IFERROR(__xludf.DUMMYFUNCTION("IMPORTRANGE(""https://docs.google.com/spreadsheets/d/11923uPwbBZFjjGgGUA6NLw09EwE0CqkOc4q9oUmW1yo/edit?usp=sharing"",""พิจิตร!J196"")"),0)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3">
      <c r="A287" s="185"/>
      <c r="B287" s="186"/>
      <c r="C287" s="186"/>
      <c r="D287" s="215">
        <v>3</v>
      </c>
      <c r="E287" s="216" t="s">
        <v>55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IFERROR(__xludf.DUMMYFUNCTION("IMPORTRANGE(""https://docs.google.com/spreadsheets/d/11923uPwbBZFjjGgGUA6NLw09EwE0CqkOc4q9oUmW1yo/edit?usp=sharing"",""พิจิตร!J197"")"),0)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3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3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IFERROR(__xludf.DUMMYFUNCTION("IMPORTRANGE(""https://docs.google.com/spreadsheets/d/11923uPwbBZFjjGgGUA6NLw09EwE0CqkOc4q9oUmW1yo/edit?usp=sharing"",""พิจิตร!I199"")"),0)</f>
        <v>0</v>
      </c>
      <c r="J289" s="324">
        <f ca="1">IFERROR(__xludf.DUMMYFUNCTION("IMPORTRANGE(""https://docs.google.com/spreadsheets/d/11923uPwbBZFjjGgGUA6NLw09EwE0CqkOc4q9oUmW1yo/edit?usp=sharing"",""พิจิตร!J199"")"),0)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45">
      <c r="A290" s="152"/>
      <c r="B290" s="153"/>
      <c r="C290" s="154" t="s">
        <v>16</v>
      </c>
      <c r="D290" s="554" t="s">
        <v>17</v>
      </c>
      <c r="E290" s="545"/>
      <c r="F290" s="545"/>
      <c r="G290" s="545"/>
      <c r="H290" s="155" t="s">
        <v>12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45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45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3">
      <c r="A293" s="164"/>
      <c r="B293" s="165"/>
      <c r="C293" s="165" t="s">
        <v>16</v>
      </c>
      <c r="D293" s="166" t="s">
        <v>38</v>
      </c>
      <c r="E293" s="167"/>
      <c r="F293" s="167"/>
      <c r="G293" s="168" t="s">
        <v>39</v>
      </c>
      <c r="H293" s="169" t="s">
        <v>12</v>
      </c>
      <c r="I293" s="197" t="s">
        <v>40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3">
      <c r="A294" s="164"/>
      <c r="B294" s="165"/>
      <c r="C294" s="165"/>
      <c r="D294" s="174"/>
      <c r="E294" s="167"/>
      <c r="F294" s="167" t="s">
        <v>40</v>
      </c>
      <c r="G294" s="168" t="s">
        <v>41</v>
      </c>
      <c r="H294" s="169" t="s">
        <v>12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IFERROR(__xludf.DUMMYFUNCTION("IMPORTRANGE(""https://docs.google.com/spreadsheets/d/1Yj_ptqi66GCucihVvJfMjLAmec39IyEx_6qawtMGysU/edit?usp=sharing"",""สบก!CT27"")"),0)</f>
        <v>0</v>
      </c>
      <c r="N294" s="177">
        <f ca="1">IFERROR(__xludf.DUMMYFUNCTION("IMPORTRANGE(""https://docs.google.com/spreadsheets/d/1Yj_ptqi66GCucihVvJfMjLAmec39IyEx_6qawtMGysU/edit?usp=sharing"",""สบก!CU27"")"),0)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3">
      <c r="A295" s="164"/>
      <c r="B295" s="165"/>
      <c r="C295" s="165"/>
      <c r="D295" s="174"/>
      <c r="E295" s="167"/>
      <c r="F295" s="167"/>
      <c r="G295" s="179" t="s">
        <v>42</v>
      </c>
      <c r="H295" s="169" t="s">
        <v>12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IFERROR(__xludf.DUMMYFUNCTION("IMPORTRANGE(""https://docs.google.com/spreadsheets/d/1Yj_ptqi66GCucihVvJfMjLAmec39IyEx_6qawtMGysU/edit?usp=sharing"",""สบก!CP27"")"),0)</f>
        <v>0</v>
      </c>
      <c r="M295" s="175"/>
      <c r="N295" s="175"/>
      <c r="O295" s="178"/>
      <c r="P295" s="178"/>
    </row>
    <row r="296" spans="1:16" ht="21.75" customHeight="1" x14ac:dyDescent="0.3">
      <c r="A296" s="164"/>
      <c r="B296" s="165"/>
      <c r="C296" s="165"/>
      <c r="D296" s="174"/>
      <c r="E296" s="167"/>
      <c r="F296" s="167"/>
      <c r="G296" s="179" t="s">
        <v>43</v>
      </c>
      <c r="H296" s="169" t="s">
        <v>12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IFERROR(__xludf.DUMMYFUNCTION("IMPORTRANGE(""https://docs.google.com/spreadsheets/d/1Yj_ptqi66GCucihVvJfMjLAmec39IyEx_6qawtMGysU/edit?usp=sharing"",""สบก!CQ27"")"),0)</f>
        <v>0</v>
      </c>
      <c r="M296" s="175"/>
      <c r="N296" s="175"/>
      <c r="O296" s="178"/>
      <c r="P296" s="178"/>
    </row>
    <row r="297" spans="1:16" ht="21.75" customHeight="1" x14ac:dyDescent="0.45">
      <c r="A297" s="180"/>
      <c r="B297" s="83"/>
      <c r="C297" s="84" t="s">
        <v>16</v>
      </c>
      <c r="D297" s="551" t="s">
        <v>23</v>
      </c>
      <c r="E297" s="547"/>
      <c r="F297" s="91"/>
      <c r="G297" s="85" t="s">
        <v>18</v>
      </c>
      <c r="H297" s="181" t="s">
        <v>12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45">
      <c r="A298" s="182"/>
      <c r="B298" s="97"/>
      <c r="C298" s="97"/>
      <c r="D298" s="183"/>
      <c r="E298" s="98"/>
      <c r="F298" s="98"/>
      <c r="G298" s="99" t="s">
        <v>19</v>
      </c>
      <c r="H298" s="184" t="s">
        <v>12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IFERROR(__xludf.DUMMYFUNCTION("IMPORTRANGE(""https://docs.google.com/spreadsheets/d/1Yj_ptqi66GCucihVvJfMjLAmec39IyEx_6qawtMGysU/edit?usp=sharing"",""สบก!CR27"")"),0)</f>
        <v>0</v>
      </c>
      <c r="M298" s="103"/>
      <c r="N298" s="93">
        <f ca="1">IFERROR(__xludf.DUMMYFUNCTION("IMPORTRANGE(""https://docs.google.com/spreadsheets/d/1Yj_ptqi66GCucihVvJfMjLAmec39IyEx_6qawtMGysU/edit?usp=sharing"",""สบก!CV27"")"),0)</f>
        <v>0</v>
      </c>
      <c r="O298" s="103">
        <f ca="1">IF(L298&gt;0,N298*100/L298,0)</f>
        <v>0</v>
      </c>
      <c r="P298" s="103"/>
    </row>
    <row r="299" spans="1:16" ht="21.75" customHeight="1" x14ac:dyDescent="0.3">
      <c r="A299" s="185"/>
      <c r="B299" s="186"/>
      <c r="C299" s="165" t="s">
        <v>16</v>
      </c>
      <c r="D299" s="187" t="s">
        <v>44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3">
      <c r="A300" s="185"/>
      <c r="B300" s="186"/>
      <c r="C300" s="186"/>
      <c r="D300" s="192">
        <v>1</v>
      </c>
      <c r="E300" s="193" t="s">
        <v>45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IFERROR(__xludf.DUMMYFUNCTION("IMPORTRANGE(""https://docs.google.com/spreadsheets/d/11923uPwbBZFjjGgGUA6NLw09EwE0CqkOc4q9oUmW1yo/edit?usp=sharing"",""พิจิตร!J205"")"),0)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3">
      <c r="A301" s="185"/>
      <c r="B301" s="186"/>
      <c r="C301" s="186"/>
      <c r="D301" s="199">
        <v>2</v>
      </c>
      <c r="E301" s="200" t="s">
        <v>46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IFERROR(__xludf.DUMMYFUNCTION("IMPORTRANGE(""https://docs.google.com/spreadsheets/d/11923uPwbBZFjjGgGUA6NLw09EwE0CqkOc4q9oUmW1yo/edit?usp=sharing"",""พิจิตร!J206"")"),0)</f>
        <v>0</v>
      </c>
      <c r="K301" s="233"/>
      <c r="L301" s="178" t="s">
        <v>40</v>
      </c>
      <c r="M301" s="178"/>
      <c r="N301" s="178" t="s">
        <v>40</v>
      </c>
      <c r="O301" s="191"/>
      <c r="P301" s="191"/>
    </row>
    <row r="302" spans="1:16" ht="21.75" customHeight="1" x14ac:dyDescent="0.3">
      <c r="A302" s="185"/>
      <c r="B302" s="186"/>
      <c r="C302" s="186"/>
      <c r="D302" s="203"/>
      <c r="E302" s="204" t="s">
        <v>47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IFERROR(__xludf.DUMMYFUNCTION("IMPORTRANGE(""https://docs.google.com/spreadsheets/d/11923uPwbBZFjjGgGUA6NLw09EwE0CqkOc4q9oUmW1yo/edit?usp=sharing"",""พิจิตร!J207"")"),0)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3">
      <c r="A303" s="185"/>
      <c r="B303" s="186"/>
      <c r="C303" s="186"/>
      <c r="D303" s="203"/>
      <c r="E303" s="204" t="s">
        <v>48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IFERROR(__xludf.DUMMYFUNCTION("IMPORTRANGE(""https://docs.google.com/spreadsheets/d/11923uPwbBZFjjGgGUA6NLw09EwE0CqkOc4q9oUmW1yo/edit?usp=sharing"",""พิจิตร!J208"")"),0)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3">
      <c r="A304" s="185"/>
      <c r="B304" s="186"/>
      <c r="C304" s="186"/>
      <c r="D304" s="203"/>
      <c r="E304" s="208"/>
      <c r="F304" s="204" t="s">
        <v>113</v>
      </c>
      <c r="G304" s="206"/>
      <c r="H304" s="190" t="s">
        <v>37</v>
      </c>
      <c r="I304" s="197">
        <f ca="1">IFERROR(__xludf.DUMMYFUNCTION("IMPORTRANGE(""https://docs.google.com/spreadsheets/d/11923uPwbBZFjjGgGUA6NLw09EwE0CqkOc4q9oUmW1yo/edit?usp=sharing"",""พิจิตร!I209"")"),0)</f>
        <v>0</v>
      </c>
      <c r="J304" s="213">
        <f ca="1">IFERROR(__xludf.DUMMYFUNCTION("IMPORTRANGE(""https://docs.google.com/spreadsheets/d/11923uPwbBZFjjGgGUA6NLw09EwE0CqkOc4q9oUmW1yo/edit?usp=sharing"",""พิจิตร!J209"")"),0)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3">
      <c r="A305" s="185"/>
      <c r="B305" s="186"/>
      <c r="C305" s="186"/>
      <c r="D305" s="203"/>
      <c r="E305" s="208"/>
      <c r="F305" s="204" t="s">
        <v>114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3">
      <c r="A306" s="185"/>
      <c r="B306" s="186"/>
      <c r="C306" s="186"/>
      <c r="D306" s="203"/>
      <c r="E306" s="208"/>
      <c r="F306" s="205" t="s">
        <v>53</v>
      </c>
      <c r="G306" s="206"/>
      <c r="H306" s="190" t="s">
        <v>37</v>
      </c>
      <c r="I306" s="197">
        <f ca="1">IFERROR(__xludf.DUMMYFUNCTION("IMPORTRANGE(""https://docs.google.com/spreadsheets/d/11923uPwbBZFjjGgGUA6NLw09EwE0CqkOc4q9oUmW1yo/edit?usp=sharing"",""พิจิตร!I211"")"),0)</f>
        <v>0</v>
      </c>
      <c r="J306" s="213">
        <f ca="1">IFERROR(__xludf.DUMMYFUNCTION("IMPORTRANGE(""https://docs.google.com/spreadsheets/d/11923uPwbBZFjjGgGUA6NLw09EwE0CqkOc4q9oUmW1yo/edit?usp=sharing"",""พิจิตร!J211"")"),0)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3">
      <c r="A307" s="185"/>
      <c r="B307" s="186"/>
      <c r="C307" s="186"/>
      <c r="D307" s="203"/>
      <c r="E307" s="204" t="s">
        <v>54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IFERROR(__xludf.DUMMYFUNCTION("IMPORTRANGE(""https://docs.google.com/spreadsheets/d/11923uPwbBZFjjGgGUA6NLw09EwE0CqkOc4q9oUmW1yo/edit?usp=sharing"",""พิจิตร!J212"")"),0)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3">
      <c r="A308" s="185"/>
      <c r="B308" s="186"/>
      <c r="C308" s="186"/>
      <c r="D308" s="215">
        <v>3</v>
      </c>
      <c r="E308" s="216" t="s">
        <v>55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IFERROR(__xludf.DUMMYFUNCTION("IMPORTRANGE(""https://docs.google.com/spreadsheets/d/11923uPwbBZFjjGgGUA6NLw09EwE0CqkOc4q9oUmW1yo/edit?usp=sharing"",""พิจิตร!J213"")"),0)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3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IFERROR(__xludf.DUMMYFUNCTION("IMPORTRANGE(""https://docs.google.com/spreadsheets/d/11923uPwbBZFjjGgGUA6NLw09EwE0CqkOc4q9oUmW1yo/edit?usp=sharing"",""พิจิตร!I214"")"),0)</f>
        <v>0</v>
      </c>
      <c r="J309" s="341">
        <f ca="1">IFERROR(__xludf.DUMMYFUNCTION("IMPORTRANGE(""https://docs.google.com/spreadsheets/d/11923uPwbBZFjjGgGUA6NLw09EwE0CqkOc4q9oUmW1yo/edit?usp=sharing"",""พิจิตร!J214"")"),0)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45">
      <c r="A310" s="152"/>
      <c r="B310" s="153"/>
      <c r="C310" s="154" t="s">
        <v>16</v>
      </c>
      <c r="D310" s="554" t="s">
        <v>17</v>
      </c>
      <c r="E310" s="545"/>
      <c r="F310" s="545"/>
      <c r="G310" s="545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45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45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3">
      <c r="A313" s="164"/>
      <c r="B313" s="165"/>
      <c r="C313" s="165" t="s">
        <v>16</v>
      </c>
      <c r="D313" s="166" t="s">
        <v>38</v>
      </c>
      <c r="E313" s="167"/>
      <c r="F313" s="167"/>
      <c r="G313" s="168" t="s">
        <v>39</v>
      </c>
      <c r="H313" s="169" t="s">
        <v>12</v>
      </c>
      <c r="I313" s="170" t="s">
        <v>40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3">
      <c r="A314" s="164"/>
      <c r="B314" s="165"/>
      <c r="C314" s="165"/>
      <c r="D314" s="174"/>
      <c r="E314" s="167"/>
      <c r="F314" s="167" t="s">
        <v>40</v>
      </c>
      <c r="G314" s="168" t="s">
        <v>41</v>
      </c>
      <c r="H314" s="169" t="s">
        <v>12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IFERROR(__xludf.DUMMYFUNCTION("IMPORTRANGE(""https://docs.google.com/spreadsheets/d/1Yj_ptqi66GCucihVvJfMjLAmec39IyEx_6qawtMGysU/edit?usp=sharing"",""สบก!DC27"")"),0)</f>
        <v>0</v>
      </c>
      <c r="N314" s="177">
        <f ca="1">IFERROR(__xludf.DUMMYFUNCTION("IMPORTRANGE(""https://docs.google.com/spreadsheets/d/1Yj_ptqi66GCucihVvJfMjLAmec39IyEx_6qawtMGysU/edit?usp=sharing"",""สบก!DD27"")"),0)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3">
      <c r="A315" s="164"/>
      <c r="B315" s="165"/>
      <c r="C315" s="165"/>
      <c r="D315" s="174"/>
      <c r="E315" s="167"/>
      <c r="F315" s="167"/>
      <c r="G315" s="179" t="s">
        <v>42</v>
      </c>
      <c r="H315" s="169" t="s">
        <v>12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IFERROR(__xludf.DUMMYFUNCTION("IMPORTRANGE(""https://docs.google.com/spreadsheets/d/1Yj_ptqi66GCucihVvJfMjLAmec39IyEx_6qawtMGysU/edit?usp=sharing"",""สบก!CY27"")"),0)</f>
        <v>0</v>
      </c>
      <c r="M315" s="175"/>
      <c r="N315" s="175"/>
      <c r="O315" s="178"/>
      <c r="P315" s="178"/>
    </row>
    <row r="316" spans="1:16" ht="21.75" customHeight="1" x14ac:dyDescent="0.3">
      <c r="A316" s="164"/>
      <c r="B316" s="165"/>
      <c r="C316" s="165"/>
      <c r="D316" s="174"/>
      <c r="E316" s="167"/>
      <c r="F316" s="167"/>
      <c r="G316" s="179" t="s">
        <v>43</v>
      </c>
      <c r="H316" s="169" t="s">
        <v>12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IFERROR(__xludf.DUMMYFUNCTION("IMPORTRANGE(""https://docs.google.com/spreadsheets/d/1Yj_ptqi66GCucihVvJfMjLAmec39IyEx_6qawtMGysU/edit?usp=sharing"",""สบก!CZ27"")"),0)</f>
        <v>0</v>
      </c>
      <c r="M316" s="175"/>
      <c r="N316" s="175"/>
      <c r="O316" s="178"/>
      <c r="P316" s="178"/>
    </row>
    <row r="317" spans="1:16" ht="21.75" customHeight="1" x14ac:dyDescent="0.45">
      <c r="A317" s="180"/>
      <c r="B317" s="83"/>
      <c r="C317" s="84" t="s">
        <v>16</v>
      </c>
      <c r="D317" s="551" t="s">
        <v>23</v>
      </c>
      <c r="E317" s="547"/>
      <c r="F317" s="91"/>
      <c r="G317" s="85" t="s">
        <v>18</v>
      </c>
      <c r="H317" s="181" t="s">
        <v>12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45">
      <c r="A318" s="182"/>
      <c r="B318" s="97"/>
      <c r="C318" s="97"/>
      <c r="D318" s="183"/>
      <c r="E318" s="98"/>
      <c r="F318" s="98"/>
      <c r="G318" s="99" t="s">
        <v>19</v>
      </c>
      <c r="H318" s="184" t="s">
        <v>12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IFERROR(__xludf.DUMMYFUNCTION("IMPORTRANGE(""https://docs.google.com/spreadsheets/d/1Yj_ptqi66GCucihVvJfMjLAmec39IyEx_6qawtMGysU/edit?usp=sharing"",""สบก!DA27"")"),0)</f>
        <v>0</v>
      </c>
      <c r="M318" s="103"/>
      <c r="N318" s="93">
        <f ca="1">IFERROR(__xludf.DUMMYFUNCTION("IMPORTRANGE(""https://docs.google.com/spreadsheets/d/1Yj_ptqi66GCucihVvJfMjLAmec39IyEx_6qawtMGysU/edit?usp=sharing"",""สบก!DE27"")"),0)</f>
        <v>0</v>
      </c>
      <c r="O318" s="103">
        <f ca="1">IF(L318&gt;0,N318*100/L318,0)</f>
        <v>0</v>
      </c>
      <c r="P318" s="103"/>
    </row>
    <row r="319" spans="1:16" ht="21.75" customHeight="1" x14ac:dyDescent="0.3">
      <c r="A319" s="185"/>
      <c r="B319" s="186"/>
      <c r="C319" s="165" t="s">
        <v>16</v>
      </c>
      <c r="D319" s="187" t="s">
        <v>44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3">
      <c r="A320" s="185"/>
      <c r="B320" s="186"/>
      <c r="C320" s="186"/>
      <c r="D320" s="192">
        <v>1</v>
      </c>
      <c r="E320" s="193" t="s">
        <v>45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IFERROR(__xludf.DUMMYFUNCTION("IMPORTRANGE(""https://docs.google.com/spreadsheets/d/11923uPwbBZFjjGgGUA6NLw09EwE0CqkOc4q9oUmW1yo/edit?usp=sharing"",""พิจิตร!J220"")"),0)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3">
      <c r="A321" s="185"/>
      <c r="B321" s="186"/>
      <c r="C321" s="186"/>
      <c r="D321" s="199">
        <v>2</v>
      </c>
      <c r="E321" s="200" t="s">
        <v>46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IFERROR(__xludf.DUMMYFUNCTION("IMPORTRANGE(""https://docs.google.com/spreadsheets/d/11923uPwbBZFjjGgGUA6NLw09EwE0CqkOc4q9oUmW1yo/edit?usp=sharing"",""พิจิตร!J221"")"),0)</f>
        <v>0</v>
      </c>
      <c r="K321" s="233"/>
      <c r="L321" s="178" t="s">
        <v>40</v>
      </c>
      <c r="M321" s="178"/>
      <c r="N321" s="178" t="s">
        <v>40</v>
      </c>
      <c r="O321" s="191"/>
      <c r="P321" s="191"/>
    </row>
    <row r="322" spans="1:16" ht="21.75" customHeight="1" x14ac:dyDescent="0.3">
      <c r="A322" s="185"/>
      <c r="B322" s="186"/>
      <c r="C322" s="186"/>
      <c r="D322" s="203"/>
      <c r="E322" s="204" t="s">
        <v>47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IFERROR(__xludf.DUMMYFUNCTION("IMPORTRANGE(""https://docs.google.com/spreadsheets/d/11923uPwbBZFjjGgGUA6NLw09EwE0CqkOc4q9oUmW1yo/edit?usp=sharing"",""พิจิตร!J222"")"),0)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3">
      <c r="A323" s="185"/>
      <c r="B323" s="186"/>
      <c r="C323" s="186"/>
      <c r="D323" s="203"/>
      <c r="E323" s="204" t="s">
        <v>48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IFERROR(__xludf.DUMMYFUNCTION("IMPORTRANGE(""https://docs.google.com/spreadsheets/d/11923uPwbBZFjjGgGUA6NLw09EwE0CqkOc4q9oUmW1yo/edit?usp=sharing"",""พิจิตร!J223"")"),0)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3">
      <c r="A324" s="185"/>
      <c r="B324" s="186"/>
      <c r="C324" s="186"/>
      <c r="D324" s="203"/>
      <c r="E324" s="208"/>
      <c r="F324" s="204" t="s">
        <v>117</v>
      </c>
      <c r="G324" s="206"/>
      <c r="H324" s="196" t="s">
        <v>116</v>
      </c>
      <c r="I324" s="197">
        <f ca="1">IFERROR(__xludf.DUMMYFUNCTION("IMPORTRANGE(""https://docs.google.com/spreadsheets/d/11923uPwbBZFjjGgGUA6NLw09EwE0CqkOc4q9oUmW1yo/edit?usp=sharing"",""พิจิตร!I224"")"),0)</f>
        <v>0</v>
      </c>
      <c r="J324" s="213">
        <f ca="1">IFERROR(__xludf.DUMMYFUNCTION("IMPORTRANGE(""https://docs.google.com/spreadsheets/d/11923uPwbBZFjjGgGUA6NLw09EwE0CqkOc4q9oUmW1yo/edit?usp=sharing"",""พิจิตร!J224"")"),0)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3">
      <c r="A325" s="185"/>
      <c r="B325" s="186"/>
      <c r="C325" s="186"/>
      <c r="D325" s="203"/>
      <c r="E325" s="204" t="s">
        <v>54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IFERROR(__xludf.DUMMYFUNCTION("IMPORTRANGE(""https://docs.google.com/spreadsheets/d/11923uPwbBZFjjGgGUA6NLw09EwE0CqkOc4q9oUmW1yo/edit?usp=sharing"",""พิจิตร!J225"")"),0)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3">
      <c r="A326" s="185"/>
      <c r="B326" s="186"/>
      <c r="C326" s="186"/>
      <c r="D326" s="215">
        <v>3</v>
      </c>
      <c r="E326" s="216" t="s">
        <v>55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IFERROR(__xludf.DUMMYFUNCTION("IMPORTRANGE(""https://docs.google.com/spreadsheets/d/11923uPwbBZFjjGgGUA6NLw09EwE0CqkOc4q9oUmW1yo/edit?usp=sharing"",""พิจิตร!J226"")"),0)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3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3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IFERROR(__xludf.DUMMYFUNCTION("IMPORTRANGE(""https://docs.google.com/spreadsheets/d/11923uPwbBZFjjGgGUA6NLw09EwE0CqkOc4q9oUmW1yo/edit?usp=sharing"",""พิจิตร!I228"")"),130)</f>
        <v>130</v>
      </c>
      <c r="J328" s="347">
        <f ca="1">IFERROR(__xludf.DUMMYFUNCTION("IMPORTRANGE(""https://docs.google.com/spreadsheets/d/11923uPwbBZFjjGgGUA6NLw09EwE0CqkOc4q9oUmW1yo/edit?usp=sharing"",""พิจิตร!J228"")"),29)</f>
        <v>29</v>
      </c>
      <c r="K328" s="325">
        <f ca="1">IF(I328&gt;0,J328*100/I328,0)</f>
        <v>22.307692307692307</v>
      </c>
      <c r="L328" s="326"/>
      <c r="M328" s="326"/>
      <c r="N328" s="326"/>
      <c r="O328" s="325"/>
      <c r="P328" s="325"/>
    </row>
    <row r="329" spans="1:16" ht="21.75" customHeight="1" x14ac:dyDescent="0.45">
      <c r="A329" s="152"/>
      <c r="B329" s="153"/>
      <c r="C329" s="154" t="s">
        <v>16</v>
      </c>
      <c r="D329" s="554" t="s">
        <v>17</v>
      </c>
      <c r="E329" s="545"/>
      <c r="F329" s="545"/>
      <c r="G329" s="545"/>
      <c r="H329" s="155" t="s">
        <v>12</v>
      </c>
      <c r="I329" s="170"/>
      <c r="J329" s="170"/>
      <c r="K329" s="171"/>
      <c r="L329" s="158">
        <f t="shared" ref="L329:N329" ca="1" si="98">L330+L331</f>
        <v>1253340</v>
      </c>
      <c r="M329" s="158">
        <f t="shared" ca="1" si="98"/>
        <v>605480</v>
      </c>
      <c r="N329" s="158">
        <f t="shared" ca="1" si="98"/>
        <v>458052</v>
      </c>
      <c r="O329" s="157">
        <f t="shared" ref="O329:O331" ca="1" si="99">IF(L329&gt;0,N329*100/L329,0)</f>
        <v>36.546507731341855</v>
      </c>
      <c r="P329" s="157">
        <f t="shared" ref="P329:P331" ca="1" si="100">IF(M329&gt;0,N329*100/M329,0)</f>
        <v>75.651053709453663</v>
      </c>
    </row>
    <row r="330" spans="1:16" ht="21.75" customHeight="1" x14ac:dyDescent="0.45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45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70"/>
      <c r="J331" s="170"/>
      <c r="K331" s="171"/>
      <c r="L331" s="163">
        <f t="shared" ref="L331:N331" ca="1" si="102">L333+L337</f>
        <v>1253340</v>
      </c>
      <c r="M331" s="163">
        <f t="shared" ca="1" si="102"/>
        <v>605480</v>
      </c>
      <c r="N331" s="163">
        <f t="shared" ca="1" si="102"/>
        <v>458052</v>
      </c>
      <c r="O331" s="162">
        <f t="shared" ca="1" si="99"/>
        <v>36.546507731341855</v>
      </c>
      <c r="P331" s="162">
        <f t="shared" ca="1" si="100"/>
        <v>75.651053709453663</v>
      </c>
    </row>
    <row r="332" spans="1:16" ht="21.75" customHeight="1" x14ac:dyDescent="0.3">
      <c r="A332" s="164"/>
      <c r="B332" s="165"/>
      <c r="C332" s="165" t="s">
        <v>16</v>
      </c>
      <c r="D332" s="166" t="s">
        <v>38</v>
      </c>
      <c r="E332" s="167"/>
      <c r="F332" s="167"/>
      <c r="G332" s="168" t="s">
        <v>39</v>
      </c>
      <c r="H332" s="169" t="s">
        <v>12</v>
      </c>
      <c r="I332" s="170" t="s">
        <v>40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3">
      <c r="A333" s="164"/>
      <c r="B333" s="165"/>
      <c r="C333" s="165"/>
      <c r="D333" s="174"/>
      <c r="E333" s="167"/>
      <c r="F333" s="167" t="s">
        <v>40</v>
      </c>
      <c r="G333" s="168" t="s">
        <v>41</v>
      </c>
      <c r="H333" s="169" t="s">
        <v>12</v>
      </c>
      <c r="I333" s="170"/>
      <c r="J333" s="170"/>
      <c r="K333" s="171"/>
      <c r="L333" s="175">
        <f ca="1">L334+L335</f>
        <v>1177740</v>
      </c>
      <c r="M333" s="176">
        <f ca="1">IFERROR(__xludf.DUMMYFUNCTION("IMPORTRANGE(""https://docs.google.com/spreadsheets/d/1Yj_ptqi66GCucihVvJfMjLAmec39IyEx_6qawtMGysU/edit?usp=sharing"",""สบก!DL27"")"),605480)</f>
        <v>605480</v>
      </c>
      <c r="N333" s="177">
        <f ca="1">IFERROR(__xludf.DUMMYFUNCTION("IMPORTRANGE(""https://docs.google.com/spreadsheets/d/1Yj_ptqi66GCucihVvJfMjLAmec39IyEx_6qawtMGysU/edit?usp=sharing"",""สบก!DM27"")"),382452)</f>
        <v>382452</v>
      </c>
      <c r="O333" s="178">
        <f ca="1">IF(L333&gt;0,N333*100/L333,0)</f>
        <v>32.473381221661825</v>
      </c>
      <c r="P333" s="178">
        <f ca="1">IF(M333&gt;0,N333*100/M333,0)</f>
        <v>63.165092158287642</v>
      </c>
    </row>
    <row r="334" spans="1:16" ht="21.75" customHeight="1" x14ac:dyDescent="0.3">
      <c r="A334" s="164"/>
      <c r="B334" s="165"/>
      <c r="C334" s="165"/>
      <c r="D334" s="174"/>
      <c r="E334" s="167"/>
      <c r="F334" s="167"/>
      <c r="G334" s="179" t="s">
        <v>42</v>
      </c>
      <c r="H334" s="169" t="s">
        <v>12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IFERROR(__xludf.DUMMYFUNCTION("IMPORTRANGE(""https://docs.google.com/spreadsheets/d/1Yj_ptqi66GCucihVvJfMjLAmec39IyEx_6qawtMGysU/edit?usp=sharing"",""สบก!DH27"")"),854600)</f>
        <v>854600</v>
      </c>
      <c r="M334" s="175"/>
      <c r="N334" s="175"/>
      <c r="O334" s="178"/>
      <c r="P334" s="178"/>
    </row>
    <row r="335" spans="1:16" ht="21.75" customHeight="1" x14ac:dyDescent="0.3">
      <c r="A335" s="164"/>
      <c r="B335" s="165"/>
      <c r="C335" s="165"/>
      <c r="D335" s="174"/>
      <c r="E335" s="167"/>
      <c r="F335" s="167"/>
      <c r="G335" s="179" t="s">
        <v>43</v>
      </c>
      <c r="H335" s="169" t="s">
        <v>12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IFERROR(__xludf.DUMMYFUNCTION("IMPORTRANGE(""https://docs.google.com/spreadsheets/d/1Yj_ptqi66GCucihVvJfMjLAmec39IyEx_6qawtMGysU/edit?usp=sharing"",""สบก!DI27"")"),323140)</f>
        <v>323140</v>
      </c>
      <c r="M335" s="175"/>
      <c r="N335" s="175"/>
      <c r="O335" s="178"/>
      <c r="P335" s="178"/>
    </row>
    <row r="336" spans="1:16" ht="21.75" customHeight="1" x14ac:dyDescent="0.45">
      <c r="A336" s="180"/>
      <c r="B336" s="83"/>
      <c r="C336" s="84" t="s">
        <v>16</v>
      </c>
      <c r="D336" s="551" t="s">
        <v>23</v>
      </c>
      <c r="E336" s="547"/>
      <c r="F336" s="91"/>
      <c r="G336" s="85" t="s">
        <v>18</v>
      </c>
      <c r="H336" s="181" t="s">
        <v>12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45">
      <c r="A337" s="182"/>
      <c r="B337" s="97"/>
      <c r="C337" s="97"/>
      <c r="D337" s="183"/>
      <c r="E337" s="98"/>
      <c r="F337" s="98"/>
      <c r="G337" s="99" t="s">
        <v>19</v>
      </c>
      <c r="H337" s="184" t="s">
        <v>12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IFERROR(__xludf.DUMMYFUNCTION("IMPORTRANGE(""https://docs.google.com/spreadsheets/d/1Yj_ptqi66GCucihVvJfMjLAmec39IyEx_6qawtMGysU/edit?usp=sharing"",""สบก!DJ27"")"),75600)</f>
        <v>75600</v>
      </c>
      <c r="M337" s="103"/>
      <c r="N337" s="93">
        <f ca="1">IFERROR(__xludf.DUMMYFUNCTION("IMPORTRANGE(""https://docs.google.com/spreadsheets/d/1Yj_ptqi66GCucihVvJfMjLAmec39IyEx_6qawtMGysU/edit?usp=sharing"",""สบก!DN27"")"),75600)</f>
        <v>75600</v>
      </c>
      <c r="O337" s="103">
        <f ca="1">IF(L337&gt;0,N337*100/L337,0)</f>
        <v>100</v>
      </c>
      <c r="P337" s="103"/>
    </row>
    <row r="338" spans="1:16" ht="21.75" customHeight="1" x14ac:dyDescent="0.3">
      <c r="A338" s="185"/>
      <c r="B338" s="299"/>
      <c r="C338" s="348" t="s">
        <v>120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3">
      <c r="A339" s="185"/>
      <c r="B339" s="299"/>
      <c r="C339" s="186"/>
      <c r="D339" s="205"/>
      <c r="E339" s="204" t="s">
        <v>121</v>
      </c>
      <c r="F339" s="205"/>
      <c r="G339" s="206"/>
      <c r="H339" s="352" t="s">
        <v>37</v>
      </c>
      <c r="I339" s="213">
        <f ca="1">IFERROR(__xludf.DUMMYFUNCTION("IMPORTRANGE(""https://docs.google.com/spreadsheets/d/11923uPwbBZFjjGgGUA6NLw09EwE0CqkOc4q9oUmW1yo/edit?usp=sharing"",""พิจิตร!I234"")"),0)</f>
        <v>0</v>
      </c>
      <c r="J339" s="197">
        <f ca="1">IFERROR(__xludf.DUMMYFUNCTION("IMPORTRANGE(""https://docs.google.com/spreadsheets/d/11923uPwbBZFjjGgGUA6NLw09EwE0CqkOc4q9oUmW1yo/edit?usp=sharing"",""พิจิตร!J234"")"),27)</f>
        <v>27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3">
      <c r="A340" s="185"/>
      <c r="B340" s="299"/>
      <c r="C340" s="186"/>
      <c r="D340" s="205"/>
      <c r="E340" s="205"/>
      <c r="F340" s="205"/>
      <c r="G340" s="206"/>
      <c r="H340" s="352" t="s">
        <v>122</v>
      </c>
      <c r="I340" s="197">
        <f ca="1">IFERROR(__xludf.DUMMYFUNCTION("IMPORTRANGE(""https://docs.google.com/spreadsheets/d/11923uPwbBZFjjGgGUA6NLw09EwE0CqkOc4q9oUmW1yo/edit?usp=sharing"",""พิจิตร!I235"")"),1000)</f>
        <v>1000</v>
      </c>
      <c r="J340" s="197">
        <f ca="1">IFERROR(__xludf.DUMMYFUNCTION("IMPORTRANGE(""https://docs.google.com/spreadsheets/d/11923uPwbBZFjjGgGUA6NLw09EwE0CqkOc4q9oUmW1yo/edit?usp=sharing"",""พิจิตร!J235"")"),239.85)</f>
        <v>239.85</v>
      </c>
      <c r="K340" s="350">
        <f t="shared" ca="1" si="103"/>
        <v>23.984999999999999</v>
      </c>
      <c r="L340" s="191"/>
      <c r="M340" s="191"/>
      <c r="N340" s="191"/>
      <c r="O340" s="351"/>
      <c r="P340" s="351"/>
    </row>
    <row r="341" spans="1:16" ht="21.75" customHeight="1" x14ac:dyDescent="0.3">
      <c r="A341" s="185"/>
      <c r="B341" s="299"/>
      <c r="C341" s="186"/>
      <c r="D341" s="205"/>
      <c r="E341" s="204" t="s">
        <v>123</v>
      </c>
      <c r="F341" s="205"/>
      <c r="G341" s="206"/>
      <c r="H341" s="190" t="s">
        <v>37</v>
      </c>
      <c r="I341" s="197">
        <f ca="1">IFERROR(__xludf.DUMMYFUNCTION("IMPORTRANGE(""https://docs.google.com/spreadsheets/d/11923uPwbBZFjjGgGUA6NLw09EwE0CqkOc4q9oUmW1yo/edit?usp=sharing"",""พิจิตร!I236"")"),130)</f>
        <v>130</v>
      </c>
      <c r="J341" s="197">
        <f ca="1">IFERROR(__xludf.DUMMYFUNCTION("IMPORTRANGE(""https://docs.google.com/spreadsheets/d/11923uPwbBZFjjGgGUA6NLw09EwE0CqkOc4q9oUmW1yo/edit?usp=sharing"",""พิจิตร!J236"")"),61)</f>
        <v>61</v>
      </c>
      <c r="K341" s="350">
        <f t="shared" ca="1" si="103"/>
        <v>46.92307692307692</v>
      </c>
      <c r="L341" s="191"/>
      <c r="M341" s="191"/>
      <c r="N341" s="191"/>
      <c r="O341" s="351"/>
      <c r="P341" s="351"/>
    </row>
    <row r="342" spans="1:16" ht="21.75" customHeight="1" x14ac:dyDescent="0.3">
      <c r="A342" s="185"/>
      <c r="B342" s="299"/>
      <c r="C342" s="186"/>
      <c r="D342" s="205"/>
      <c r="E342" s="205"/>
      <c r="F342" s="205"/>
      <c r="G342" s="206"/>
      <c r="H342" s="190" t="s">
        <v>122</v>
      </c>
      <c r="I342" s="353">
        <f ca="1">IFERROR(__xludf.DUMMYFUNCTION("IMPORTRANGE(""https://docs.google.com/spreadsheets/d/11923uPwbBZFjjGgGUA6NLw09EwE0CqkOc4q9oUmW1yo/edit?usp=sharing"",""พิจิตร!I237"")"),0)</f>
        <v>0</v>
      </c>
      <c r="J342" s="197">
        <f ca="1">IFERROR(__xludf.DUMMYFUNCTION("IMPORTRANGE(""https://docs.google.com/spreadsheets/d/11923uPwbBZFjjGgGUA6NLw09EwE0CqkOc4q9oUmW1yo/edit?usp=sharing"",""พิจิตร!J237"")"),737.91)</f>
        <v>737.91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3">
      <c r="A343" s="185"/>
      <c r="B343" s="299"/>
      <c r="C343" s="186"/>
      <c r="D343" s="205"/>
      <c r="E343" s="204" t="s">
        <v>124</v>
      </c>
      <c r="F343" s="205"/>
      <c r="G343" s="206"/>
      <c r="H343" s="190" t="s">
        <v>37</v>
      </c>
      <c r="I343" s="197">
        <f ca="1">IFERROR(__xludf.DUMMYFUNCTION("IMPORTRANGE(""https://docs.google.com/spreadsheets/d/11923uPwbBZFjjGgGUA6NLw09EwE0CqkOc4q9oUmW1yo/edit?usp=sharing"",""พิจิตร!I238"")"),130)</f>
        <v>130</v>
      </c>
      <c r="J343" s="197">
        <f ca="1">IFERROR(__xludf.DUMMYFUNCTION("IMPORTRANGE(""https://docs.google.com/spreadsheets/d/11923uPwbBZFjjGgGUA6NLw09EwE0CqkOc4q9oUmW1yo/edit?usp=sharing"",""พิจิตร!J238"")"),0)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3">
      <c r="A344" s="185"/>
      <c r="B344" s="299"/>
      <c r="C344" s="186"/>
      <c r="D344" s="205"/>
      <c r="E344" s="205"/>
      <c r="F344" s="205"/>
      <c r="G344" s="206"/>
      <c r="H344" s="190" t="s">
        <v>122</v>
      </c>
      <c r="I344" s="353">
        <f ca="1">IFERROR(__xludf.DUMMYFUNCTION("IMPORTRANGE(""https://docs.google.com/spreadsheets/d/11923uPwbBZFjjGgGUA6NLw09EwE0CqkOc4q9oUmW1yo/edit?usp=sharing"",""พิจิตร!I239"")"),0)</f>
        <v>0</v>
      </c>
      <c r="J344" s="197">
        <f ca="1">IFERROR(__xludf.DUMMYFUNCTION("IMPORTRANGE(""https://docs.google.com/spreadsheets/d/11923uPwbBZFjjGgGUA6NLw09EwE0CqkOc4q9oUmW1yo/edit?usp=sharing"",""พิจิตร!J239"")"),0)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3">
      <c r="A345" s="185"/>
      <c r="B345" s="299"/>
      <c r="C345" s="186"/>
      <c r="D345" s="205"/>
      <c r="E345" s="204" t="s">
        <v>125</v>
      </c>
      <c r="F345" s="205"/>
      <c r="G345" s="206"/>
      <c r="H345" s="190" t="s">
        <v>37</v>
      </c>
      <c r="I345" s="197">
        <f ca="1">IFERROR(__xludf.DUMMYFUNCTION("IMPORTRANGE(""https://docs.google.com/spreadsheets/d/11923uPwbBZFjjGgGUA6NLw09EwE0CqkOc4q9oUmW1yo/edit?usp=sharing"",""พิจิตร!I240"")"),130)</f>
        <v>130</v>
      </c>
      <c r="J345" s="197">
        <f ca="1">IFERROR(__xludf.DUMMYFUNCTION("IMPORTRANGE(""https://docs.google.com/spreadsheets/d/11923uPwbBZFjjGgGUA6NLw09EwE0CqkOc4q9oUmW1yo/edit?usp=sharing"",""พิจิตร!J240"")"),29)</f>
        <v>29</v>
      </c>
      <c r="K345" s="350">
        <f t="shared" ca="1" si="103"/>
        <v>22.307692307692307</v>
      </c>
      <c r="L345" s="191"/>
      <c r="M345" s="191"/>
      <c r="N345" s="191"/>
      <c r="O345" s="351"/>
      <c r="P345" s="351"/>
    </row>
    <row r="346" spans="1:16" ht="21.75" customHeight="1" x14ac:dyDescent="0.3">
      <c r="A346" s="243"/>
      <c r="B346" s="354"/>
      <c r="C346" s="244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IFERROR(__xludf.DUMMYFUNCTION("IMPORTRANGE(""https://docs.google.com/spreadsheets/d/11923uPwbBZFjjGgGUA6NLw09EwE0CqkOc4q9oUmW1yo/edit?usp=sharing"",""พิจิตร!I241"")"),0)</f>
        <v>0</v>
      </c>
      <c r="J346" s="197">
        <f ca="1">IFERROR(__xludf.DUMMYFUNCTION("IMPORTRANGE(""https://docs.google.com/spreadsheets/d/11923uPwbBZFjjGgGUA6NLw09EwE0CqkOc4q9oUmW1yo/edit?usp=sharing"",""พิจิตร!J241"")"),411.82)</f>
        <v>411.82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3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IFERROR(__xludf.DUMMYFUNCTION("IMPORTRANGE(""https://docs.google.com/spreadsheets/d/11923uPwbBZFjjGgGUA6NLw09EwE0CqkOc4q9oUmW1yo/edit?usp=sharing"",""พิจิตร!L242"")"),1989847)</f>
        <v>1989847</v>
      </c>
      <c r="M347" s="366"/>
      <c r="N347" s="366">
        <f ca="1">IFERROR(__xludf.DUMMYFUNCTION("IMPORTRANGE(""https://docs.google.com/spreadsheets/d/11923uPwbBZFjjGgGUA6NLw09EwE0CqkOc4q9oUmW1yo/edit?usp=sharing"",""พิจิตร!M242"")"),260508.33)</f>
        <v>260508.33</v>
      </c>
      <c r="O347" s="366">
        <f ca="1">+IF(L347&gt;0,N347*100/L347,0)</f>
        <v>13.091877415700806</v>
      </c>
      <c r="P347" s="366"/>
    </row>
    <row r="348" spans="1:16" ht="21.75" customHeight="1" x14ac:dyDescent="0.3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3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IFERROR(__xludf.DUMMYFUNCTION("IMPORTRANGE(""https://docs.google.com/spreadsheets/d/11923uPwbBZFjjGgGUA6NLw09EwE0CqkOc4q9oUmW1yo/edit?usp=sharing"",""พิจิตร!I244"")"),160)</f>
        <v>160</v>
      </c>
      <c r="J349" s="379">
        <f ca="1">IFERROR(__xludf.DUMMYFUNCTION("IMPORTRANGE(""https://docs.google.com/spreadsheets/d/11923uPwbBZFjjGgGUA6NLw09EwE0CqkOc4q9oUmW1yo/edit?usp=sharing"",""พิจิตร!J244"")"),0)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IFERROR(__xludf.DUMMYFUNCTION("IMPORTRANGE(""https://docs.google.com/spreadsheets/d/11923uPwbBZFjjGgGUA6NLw09EwE0CqkOc4q9oUmW1yo/edit?usp=sharing"",""พิจิตร!L244"")"),406480)</f>
        <v>406480</v>
      </c>
      <c r="M349" s="381"/>
      <c r="N349" s="381">
        <f ca="1">IFERROR(__xludf.DUMMYFUNCTION("IMPORTRANGE(""https://docs.google.com/spreadsheets/d/11923uPwbBZFjjGgGUA6NLw09EwE0CqkOc4q9oUmW1yo/edit?usp=sharing"",""พิจิตร!M244"")"),48751.7)</f>
        <v>48751.7</v>
      </c>
      <c r="O349" s="381">
        <f ca="1">+IF(L349&gt;0,N349*100/L349,0)</f>
        <v>11.99362822279079</v>
      </c>
      <c r="P349" s="381"/>
    </row>
    <row r="350" spans="1:16" ht="21.75" customHeight="1" x14ac:dyDescent="0.3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IFERROR(__xludf.DUMMYFUNCTION("IMPORTRANGE(""https://docs.google.com/spreadsheets/d/11923uPwbBZFjjGgGUA6NLw09EwE0CqkOc4q9oUmW1yo/edit?usp=sharing"",""พิจิตร!I245"")"),60)</f>
        <v>60</v>
      </c>
      <c r="J350" s="379">
        <f ca="1">IFERROR(__xludf.DUMMYFUNCTION("IMPORTRANGE(""https://docs.google.com/spreadsheets/d/11923uPwbBZFjjGgGUA6NLw09EwE0CqkOc4q9oUmW1yo/edit?usp=sharing"",""พิจิตร!J245"")"),0)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3">
      <c r="A351" s="164"/>
      <c r="B351" s="165"/>
      <c r="C351" s="165" t="s">
        <v>16</v>
      </c>
      <c r="D351" s="166" t="s">
        <v>38</v>
      </c>
      <c r="E351" s="167"/>
      <c r="F351" s="167"/>
      <c r="G351" s="168" t="s">
        <v>39</v>
      </c>
      <c r="H351" s="169" t="s">
        <v>12</v>
      </c>
      <c r="I351" s="170" t="s">
        <v>40</v>
      </c>
      <c r="J351" s="170"/>
      <c r="K351" s="171"/>
      <c r="L351" s="172">
        <f ca="1">IFERROR(__xludf.DUMMYFUNCTION("IMPORTRANGE(""https://docs.google.com/spreadsheets/d/11923uPwbBZFjjGgGUA6NLw09EwE0CqkOc4q9oUmW1yo/edit?usp=sharing"",""พิจิตร!L246"")"),0)</f>
        <v>0</v>
      </c>
      <c r="M351" s="172"/>
      <c r="N351" s="172">
        <f ca="1">IFERROR(__xludf.DUMMYFUNCTION("IMPORTRANGE(""https://docs.google.com/spreadsheets/d/11923uPwbBZFjjGgGUA6NLw09EwE0CqkOc4q9oUmW1yo/edit?usp=sharing"",""พิจิตร!M246"")"),0)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3">
      <c r="A352" s="164"/>
      <c r="B352" s="165"/>
      <c r="C352" s="165"/>
      <c r="D352" s="174"/>
      <c r="E352" s="167"/>
      <c r="F352" s="167" t="s">
        <v>40</v>
      </c>
      <c r="G352" s="168" t="s">
        <v>41</v>
      </c>
      <c r="H352" s="169" t="s">
        <v>12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IFERROR(__xludf.DUMMYFUNCTION("IMPORTRANGE(""https://docs.google.com/spreadsheets/d/11923uPwbBZFjjGgGUA6NLw09EwE0CqkOc4q9oUmW1yo/edit?usp=sharing"",""พิจิตร!L247"")"),406480)</f>
        <v>406480</v>
      </c>
      <c r="M352" s="173"/>
      <c r="N352" s="172">
        <f ca="1">IFERROR(__xludf.DUMMYFUNCTION("IMPORTRANGE(""https://docs.google.com/spreadsheets/d/11923uPwbBZFjjGgGUA6NLw09EwE0CqkOc4q9oUmW1yo/edit?usp=sharing"",""พิจิตร!M247"")"),48751.7)</f>
        <v>48751.7</v>
      </c>
      <c r="O352" s="173">
        <f t="shared" ca="1" si="105"/>
        <v>11.99362822279079</v>
      </c>
      <c r="P352" s="173"/>
    </row>
    <row r="353" spans="1:16" ht="21.75" customHeight="1" x14ac:dyDescent="0.3">
      <c r="A353" s="164"/>
      <c r="B353" s="165"/>
      <c r="C353" s="165"/>
      <c r="D353" s="174"/>
      <c r="E353" s="167"/>
      <c r="F353" s="167"/>
      <c r="G353" s="382" t="s">
        <v>129</v>
      </c>
      <c r="H353" s="169" t="s">
        <v>12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IFERROR(__xludf.DUMMYFUNCTION("IMPORTRANGE(""https://docs.google.com/spreadsheets/d/11923uPwbBZFjjGgGUA6NLw09EwE0CqkOc4q9oUmW1yo/edit?usp=sharing"",""พิจิตร!L248"")"),0)</f>
        <v>0</v>
      </c>
      <c r="M353" s="178"/>
      <c r="N353" s="178">
        <f ca="1">IFERROR(__xludf.DUMMYFUNCTION("IMPORTRANGE(""https://docs.google.com/spreadsheets/d/11923uPwbBZFjjGgGUA6NLw09EwE0CqkOc4q9oUmW1yo/edit?usp=sharing"",""พิจิตร!M248"")"),0)</f>
        <v>0</v>
      </c>
      <c r="O353" s="178">
        <f t="shared" ca="1" si="105"/>
        <v>0</v>
      </c>
      <c r="P353" s="178"/>
    </row>
    <row r="354" spans="1:16" ht="21.75" customHeight="1" x14ac:dyDescent="0.3">
      <c r="A354" s="164"/>
      <c r="B354" s="165"/>
      <c r="C354" s="165"/>
      <c r="D354" s="174"/>
      <c r="E354" s="167"/>
      <c r="F354" s="167"/>
      <c r="G354" s="382" t="s">
        <v>130</v>
      </c>
      <c r="H354" s="169" t="s">
        <v>12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IFERROR(__xludf.DUMMYFUNCTION("IMPORTRANGE(""https://docs.google.com/spreadsheets/d/11923uPwbBZFjjGgGUA6NLw09EwE0CqkOc4q9oUmW1yo/edit?usp=sharing"",""พิจิตร!L249"")"),406480)</f>
        <v>406480</v>
      </c>
      <c r="M354" s="178"/>
      <c r="N354" s="175">
        <f ca="1">IFERROR(__xludf.DUMMYFUNCTION("IMPORTRANGE(""https://docs.google.com/spreadsheets/d/11923uPwbBZFjjGgGUA6NLw09EwE0CqkOc4q9oUmW1yo/edit?usp=sharing"",""พิจิตร!M249"")"),48751.7)</f>
        <v>48751.7</v>
      </c>
      <c r="O354" s="178">
        <f t="shared" ca="1" si="105"/>
        <v>11.99362822279079</v>
      </c>
      <c r="P354" s="178"/>
    </row>
    <row r="355" spans="1:16" ht="21.75" customHeight="1" x14ac:dyDescent="0.3">
      <c r="A355" s="383"/>
      <c r="B355" s="384"/>
      <c r="C355" s="165"/>
      <c r="D355" s="385"/>
      <c r="E355" s="167"/>
      <c r="F355" s="167"/>
      <c r="G355" s="386" t="s">
        <v>131</v>
      </c>
      <c r="H355" s="169" t="s">
        <v>12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IFERROR(__xludf.DUMMYFUNCTION("IMPORTRANGE(""https://docs.google.com/spreadsheets/d/11923uPwbBZFjjGgGUA6NLw09EwE0CqkOc4q9oUmW1yo/edit?usp=sharing"",""พิจิตร!M250"")"),14700)</f>
        <v>14700</v>
      </c>
      <c r="O355" s="178"/>
      <c r="P355" s="178"/>
    </row>
    <row r="356" spans="1:16" ht="21.75" customHeight="1" x14ac:dyDescent="0.3">
      <c r="A356" s="383"/>
      <c r="B356" s="384"/>
      <c r="C356" s="165"/>
      <c r="D356" s="385"/>
      <c r="E356" s="167"/>
      <c r="F356" s="167"/>
      <c r="G356" s="386" t="s">
        <v>132</v>
      </c>
      <c r="H356" s="169" t="s">
        <v>12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IFERROR(__xludf.DUMMYFUNCTION("IMPORTRANGE(""https://docs.google.com/spreadsheets/d/11923uPwbBZFjjGgGUA6NLw09EwE0CqkOc4q9oUmW1yo/edit?usp=sharing"",""พิจิตร!M251"")"),0)</f>
        <v>0</v>
      </c>
      <c r="O356" s="178"/>
      <c r="P356" s="178"/>
    </row>
    <row r="357" spans="1:16" ht="21.75" customHeight="1" x14ac:dyDescent="0.3">
      <c r="A357" s="383"/>
      <c r="B357" s="384"/>
      <c r="C357" s="165"/>
      <c r="D357" s="385"/>
      <c r="E357" s="167"/>
      <c r="F357" s="167"/>
      <c r="G357" s="386" t="s">
        <v>133</v>
      </c>
      <c r="H357" s="169" t="s">
        <v>12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IFERROR(__xludf.DUMMYFUNCTION("IMPORTRANGE(""https://docs.google.com/spreadsheets/d/11923uPwbBZFjjGgGUA6NLw09EwE0CqkOc4q9oUmW1yo/edit?usp=sharing"",""พิจิตร!M252"")"),34051.7)</f>
        <v>34051.699999999997</v>
      </c>
      <c r="O357" s="178"/>
      <c r="P357" s="178"/>
    </row>
    <row r="358" spans="1:16" ht="21.75" customHeight="1" x14ac:dyDescent="0.3">
      <c r="A358" s="383"/>
      <c r="B358" s="384"/>
      <c r="C358" s="165"/>
      <c r="D358" s="385"/>
      <c r="E358" s="167"/>
      <c r="F358" s="167"/>
      <c r="G358" s="386" t="s">
        <v>134</v>
      </c>
      <c r="H358" s="169" t="s">
        <v>12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IFERROR(__xludf.DUMMYFUNCTION("IMPORTRANGE(""https://docs.google.com/spreadsheets/d/11923uPwbBZFjjGgGUA6NLw09EwE0CqkOc4q9oUmW1yo/edit?usp=sharing"",""พิจิตร!M253"")"),0)</f>
        <v>0</v>
      </c>
      <c r="O358" s="178"/>
      <c r="P358" s="178"/>
    </row>
    <row r="359" spans="1:16" ht="21.75" customHeight="1" x14ac:dyDescent="0.3">
      <c r="A359" s="185"/>
      <c r="B359" s="186"/>
      <c r="C359" s="165" t="s">
        <v>16</v>
      </c>
      <c r="D359" s="187" t="s">
        <v>44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3">
      <c r="A360" s="185"/>
      <c r="B360" s="186"/>
      <c r="C360" s="186"/>
      <c r="D360" s="192">
        <v>1</v>
      </c>
      <c r="E360" s="193" t="s">
        <v>45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IFERROR(__xludf.DUMMYFUNCTION("IMPORTRANGE(""https://docs.google.com/spreadsheets/d/11923uPwbBZFjjGgGUA6NLw09EwE0CqkOc4q9oUmW1yo/edit?usp=sharing"",""พิจิตร!J255"")"),0)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3">
      <c r="A361" s="185"/>
      <c r="B361" s="186"/>
      <c r="C361" s="186"/>
      <c r="D361" s="199">
        <v>2</v>
      </c>
      <c r="E361" s="200" t="s">
        <v>46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IFERROR(__xludf.DUMMYFUNCTION("IMPORTRANGE(""https://docs.google.com/spreadsheets/d/11923uPwbBZFjjGgGUA6NLw09EwE0CqkOc4q9oUmW1yo/edit?usp=sharing"",""พิจิตร!J256"")"),1)</f>
        <v>1</v>
      </c>
      <c r="K361" s="171"/>
      <c r="L361" s="191" t="s">
        <v>40</v>
      </c>
      <c r="M361" s="191"/>
      <c r="N361" s="191" t="s">
        <v>40</v>
      </c>
      <c r="O361" s="191"/>
      <c r="P361" s="191"/>
    </row>
    <row r="362" spans="1:16" ht="21.75" customHeight="1" x14ac:dyDescent="0.3">
      <c r="A362" s="185"/>
      <c r="B362" s="186"/>
      <c r="C362" s="186"/>
      <c r="D362" s="203"/>
      <c r="E362" s="204" t="s">
        <v>47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IFERROR(__xludf.DUMMYFUNCTION("IMPORTRANGE(""https://docs.google.com/spreadsheets/d/11923uPwbBZFjjGgGUA6NLw09EwE0CqkOc4q9oUmW1yo/edit?usp=sharing"",""พิจิตร!J257"")"),1)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3">
      <c r="A363" s="185"/>
      <c r="B363" s="186"/>
      <c r="C363" s="186"/>
      <c r="D363" s="203"/>
      <c r="E363" s="204" t="s">
        <v>48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IFERROR(__xludf.DUMMYFUNCTION("IMPORTRANGE(""https://docs.google.com/spreadsheets/d/11923uPwbBZFjjGgGUA6NLw09EwE0CqkOc4q9oUmW1yo/edit?usp=sharing"",""พิจิตร!J258"")"),1)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3">
      <c r="A364" s="185"/>
      <c r="B364" s="186"/>
      <c r="C364" s="186"/>
      <c r="D364" s="203"/>
      <c r="E364" s="208"/>
      <c r="F364" s="204" t="s">
        <v>70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IFERROR(__xludf.DUMMYFUNCTION("IMPORTRANGE(""https://docs.google.com/spreadsheets/d/11923uPwbBZFjjGgGUA6NLw09EwE0CqkOc4q9oUmW1yo/edit?usp=sharing"",""พิจิตร!J166"")"),0)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3">
      <c r="A365" s="185"/>
      <c r="B365" s="186"/>
      <c r="C365" s="186"/>
      <c r="D365" s="203"/>
      <c r="E365" s="208"/>
      <c r="F365" s="205"/>
      <c r="G365" s="235" t="s">
        <v>135</v>
      </c>
      <c r="H365" s="190" t="s">
        <v>37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IFERROR(__xludf.DUMMYFUNCTION("IMPORTRANGE(""https://docs.google.com/spreadsheets/d/11923uPwbBZFjjGgGUA6NLw09EwE0CqkOc4q9oUmW1yo/edit?usp=sharing"",""พิจิตร!J166"")"),0)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3">
      <c r="A366" s="185"/>
      <c r="B366" s="186"/>
      <c r="C366" s="186"/>
      <c r="D366" s="203"/>
      <c r="E366" s="208"/>
      <c r="F366" s="205"/>
      <c r="G366" s="206" t="s">
        <v>136</v>
      </c>
      <c r="H366" s="190"/>
      <c r="I366" s="170"/>
      <c r="J366" s="197">
        <f ca="1">IFERROR(__xludf.DUMMYFUNCTION("IMPORTRANGE(""https://docs.google.com/spreadsheets/d/11923uPwbBZFjjGgGUA6NLw09EwE0CqkOc4q9oUmW1yo/edit?usp=sharing"",""พิจิตร!J166"")"),0)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3">
      <c r="A367" s="185"/>
      <c r="B367" s="186"/>
      <c r="C367" s="186"/>
      <c r="D367" s="203"/>
      <c r="E367" s="208"/>
      <c r="F367" s="205"/>
      <c r="G367" s="235" t="s">
        <v>137</v>
      </c>
      <c r="H367" s="196" t="s">
        <v>122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IFERROR(__xludf.DUMMYFUNCTION("IMPORTRANGE(""https://docs.google.com/spreadsheets/d/11923uPwbBZFjjGgGUA6NLw09EwE0CqkOc4q9oUmW1yo/edit?usp=sharing"",""พิจิตร!J166"")"),0)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3">
      <c r="A368" s="185"/>
      <c r="B368" s="186"/>
      <c r="C368" s="186"/>
      <c r="D368" s="203"/>
      <c r="E368" s="208"/>
      <c r="F368" s="388" t="s">
        <v>138</v>
      </c>
      <c r="G368" s="389"/>
      <c r="H368" s="196" t="s">
        <v>37</v>
      </c>
      <c r="I368" s="170">
        <f ca="1">IFERROR(__xludf.DUMMYFUNCTION("IMPORTRANGE(""https://docs.google.com/spreadsheets/d/11923uPwbBZFjjGgGUA6NLw09EwE0CqkOc4q9oUmW1yo/edit?usp=sharing"",""พิจิตร!I263"")"),60)</f>
        <v>60</v>
      </c>
      <c r="J368" s="197">
        <f ca="1">IFERROR(__xludf.DUMMYFUNCTION("IMPORTRANGE(""https://docs.google.com/spreadsheets/d/11923uPwbBZFjjGgGUA6NLw09EwE0CqkOc4q9oUmW1yo/edit?usp=sharing"",""พิจิตร!J263"")"),0)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3">
      <c r="A369" s="185"/>
      <c r="B369" s="186"/>
      <c r="C369" s="186"/>
      <c r="D369" s="203"/>
      <c r="E369" s="208"/>
      <c r="F369" s="205"/>
      <c r="G369" s="389"/>
      <c r="H369" s="190" t="s">
        <v>122</v>
      </c>
      <c r="I369" s="170">
        <f ca="1">IFERROR(__xludf.DUMMYFUNCTION("IMPORTRANGE(""https://docs.google.com/spreadsheets/d/11923uPwbBZFjjGgGUA6NLw09EwE0CqkOc4q9oUmW1yo/edit?usp=sharing"",""พิจิตร!I164"")"),0)</f>
        <v>0</v>
      </c>
      <c r="J369" s="213">
        <f ca="1">IFERROR(__xludf.DUMMYFUNCTION("IMPORTRANGE(""https://docs.google.com/spreadsheets/d/11923uPwbBZFjjGgGUA6NLw09EwE0CqkOc4q9oUmW1yo/edit?usp=sharing"",""พิจิตร!J164"")"),0)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3">
      <c r="A370" s="185"/>
      <c r="B370" s="186"/>
      <c r="C370" s="186"/>
      <c r="D370" s="203"/>
      <c r="E370" s="208"/>
      <c r="F370" s="205"/>
      <c r="G370" s="388" t="s">
        <v>139</v>
      </c>
      <c r="H370" s="190" t="s">
        <v>37</v>
      </c>
      <c r="I370" s="170">
        <f ca="1">IFERROR(__xludf.DUMMYFUNCTION("IMPORTRANGE(""https://docs.google.com/spreadsheets/d/11923uPwbBZFjjGgGUA6NLw09EwE0CqkOc4q9oUmW1yo/edit?usp=sharing"",""พิจิตร!I265"")"),60)</f>
        <v>60</v>
      </c>
      <c r="J370" s="213">
        <f ca="1">IFERROR(__xludf.DUMMYFUNCTION("IMPORTRANGE(""https://docs.google.com/spreadsheets/d/11923uPwbBZFjjGgGUA6NLw09EwE0CqkOc4q9oUmW1yo/edit?usp=sharing"",""พิจิตร!J265"")"),0)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3">
      <c r="A371" s="185"/>
      <c r="B371" s="186"/>
      <c r="C371" s="186"/>
      <c r="D371" s="203"/>
      <c r="E371" s="208"/>
      <c r="F371" s="205"/>
      <c r="G371" s="389"/>
      <c r="H371" s="190" t="s">
        <v>122</v>
      </c>
      <c r="I371" s="170">
        <f ca="1">IFERROR(__xludf.DUMMYFUNCTION("IMPORTRANGE(""https://docs.google.com/spreadsheets/d/11923uPwbBZFjjGgGUA6NLw09EwE0CqkOc4q9oUmW1yo/edit?usp=sharing"",""พิจิตร!I164"")"),0)</f>
        <v>0</v>
      </c>
      <c r="J371" s="198">
        <f ca="1">IFERROR(__xludf.DUMMYFUNCTION("IMPORTRANGE(""https://docs.google.com/spreadsheets/d/11923uPwbBZFjjGgGUA6NLw09EwE0CqkOc4q9oUmW1yo/edit?usp=sharing"",""พิจิตร!J164"")"),0)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3">
      <c r="A372" s="185"/>
      <c r="B372" s="186"/>
      <c r="C372" s="186"/>
      <c r="D372" s="203"/>
      <c r="E372" s="208"/>
      <c r="F372" s="205"/>
      <c r="G372" s="388" t="s">
        <v>140</v>
      </c>
      <c r="H372" s="190" t="s">
        <v>37</v>
      </c>
      <c r="I372" s="170">
        <f ca="1">IFERROR(__xludf.DUMMYFUNCTION("IMPORTRANGE(""https://docs.google.com/spreadsheets/d/11923uPwbBZFjjGgGUA6NLw09EwE0CqkOc4q9oUmW1yo/edit?usp=sharing"",""พิจิตร!I267"")"),60)</f>
        <v>60</v>
      </c>
      <c r="J372" s="198">
        <f ca="1">IFERROR(__xludf.DUMMYFUNCTION("IMPORTRANGE(""https://docs.google.com/spreadsheets/d/11923uPwbBZFjjGgGUA6NLw09EwE0CqkOc4q9oUmW1yo/edit?usp=sharing"",""พิจิตร!J267"")"),0)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3">
      <c r="A373" s="185"/>
      <c r="B373" s="186"/>
      <c r="C373" s="186"/>
      <c r="D373" s="203"/>
      <c r="E373" s="208"/>
      <c r="F373" s="205"/>
      <c r="G373" s="235" t="s">
        <v>141</v>
      </c>
      <c r="H373" s="190" t="s">
        <v>37</v>
      </c>
      <c r="I373" s="197">
        <f ca="1">IFERROR(__xludf.DUMMYFUNCTION("IMPORTRANGE(""https://docs.google.com/spreadsheets/d/11923uPwbBZFjjGgGUA6NLw09EwE0CqkOc4q9oUmW1yo/edit?usp=sharing"",""พิจิตร!I164"")"),0)</f>
        <v>0</v>
      </c>
      <c r="J373" s="213">
        <f ca="1">IFERROR(__xludf.DUMMYFUNCTION("IMPORTRANGE(""https://docs.google.com/spreadsheets/d/11923uPwbBZFjjGgGUA6NLw09EwE0CqkOc4q9oUmW1yo/edit?usp=sharing"",""พิจิตร!J164"")"),0)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3">
      <c r="A374" s="185"/>
      <c r="B374" s="186"/>
      <c r="C374" s="186"/>
      <c r="D374" s="203"/>
      <c r="E374" s="208"/>
      <c r="F374" s="205"/>
      <c r="G374" s="206" t="s">
        <v>142</v>
      </c>
      <c r="H374" s="190"/>
      <c r="I374" s="197">
        <f ca="1">IFERROR(__xludf.DUMMYFUNCTION("IMPORTRANGE(""https://docs.google.com/spreadsheets/d/11923uPwbBZFjjGgGUA6NLw09EwE0CqkOc4q9oUmW1yo/edit?usp=sharing"",""พิจิตร!I164"")"),0)</f>
        <v>0</v>
      </c>
      <c r="J374" s="197">
        <f ca="1">IFERROR(__xludf.DUMMYFUNCTION("IMPORTRANGE(""https://docs.google.com/spreadsheets/d/11923uPwbBZFjjGgGUA6NLw09EwE0CqkOc4q9oUmW1yo/edit?usp=sharing"",""พิจิตร!J164"")"),0)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3">
      <c r="A375" s="185"/>
      <c r="B375" s="186"/>
      <c r="C375" s="186"/>
      <c r="D375" s="203"/>
      <c r="E375" s="205"/>
      <c r="F375" s="214" t="s">
        <v>53</v>
      </c>
      <c r="G375" s="206"/>
      <c r="H375" s="288" t="s">
        <v>122</v>
      </c>
      <c r="I375" s="197">
        <f ca="1">IFERROR(__xludf.DUMMYFUNCTION("IMPORTRANGE(""https://docs.google.com/spreadsheets/d/11923uPwbBZFjjGgGUA6NLw09EwE0CqkOc4q9oUmW1yo/edit?usp=sharing"",""พิจิตร!I270"")"),160)</f>
        <v>160</v>
      </c>
      <c r="J375" s="197">
        <f ca="1">IFERROR(__xludf.DUMMYFUNCTION("IMPORTRANGE(""https://docs.google.com/spreadsheets/d/11923uPwbBZFjjGgGUA6NLw09EwE0CqkOc4q9oUmW1yo/edit?usp=sharing"",""พิจิตร!J270"")"),0)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3">
      <c r="A376" s="185"/>
      <c r="B376" s="186"/>
      <c r="C376" s="186"/>
      <c r="D376" s="203"/>
      <c r="E376" s="205"/>
      <c r="F376" s="205"/>
      <c r="G376" s="289" t="s">
        <v>143</v>
      </c>
      <c r="H376" s="288" t="s">
        <v>122</v>
      </c>
      <c r="I376" s="197">
        <f ca="1">IFERROR(__xludf.DUMMYFUNCTION("IMPORTRANGE(""https://docs.google.com/spreadsheets/d/11923uPwbBZFjjGgGUA6NLw09EwE0CqkOc4q9oUmW1yo/edit?usp=sharing"",""พิจิตร!I271"")"),60)</f>
        <v>60</v>
      </c>
      <c r="J376" s="198">
        <f ca="1">IFERROR(__xludf.DUMMYFUNCTION("IMPORTRANGE(""https://docs.google.com/spreadsheets/d/11923uPwbBZFjjGgGUA6NLw09EwE0CqkOc4q9oUmW1yo/edit?usp=sharing"",""พิจิตร!J271"")"),0)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3">
      <c r="A377" s="185"/>
      <c r="B377" s="186"/>
      <c r="C377" s="186"/>
      <c r="D377" s="203"/>
      <c r="E377" s="205"/>
      <c r="F377" s="205"/>
      <c r="G377" s="289" t="s">
        <v>144</v>
      </c>
      <c r="H377" s="288" t="s">
        <v>122</v>
      </c>
      <c r="I377" s="197">
        <f ca="1">IFERROR(__xludf.DUMMYFUNCTION("IMPORTRANGE(""https://docs.google.com/spreadsheets/d/11923uPwbBZFjjGgGUA6NLw09EwE0CqkOc4q9oUmW1yo/edit?usp=sharing"",""พิจิตร!I272"")"),100)</f>
        <v>100</v>
      </c>
      <c r="J377" s="213">
        <f ca="1">IFERROR(__xludf.DUMMYFUNCTION("IMPORTRANGE(""https://docs.google.com/spreadsheets/d/11923uPwbBZFjjGgGUA6NLw09EwE0CqkOc4q9oUmW1yo/edit?usp=sharing"",""พิจิตร!J272"")"),0)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3">
      <c r="A378" s="185"/>
      <c r="B378" s="186"/>
      <c r="C378" s="186"/>
      <c r="D378" s="203"/>
      <c r="E378" s="204" t="s">
        <v>54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IFERROR(__xludf.DUMMYFUNCTION("IMPORTRANGE(""https://docs.google.com/spreadsheets/d/11923uPwbBZFjjGgGUA6NLw09EwE0CqkOc4q9oUmW1yo/edit?usp=sharing"",""พิจิตร!J273"")"),0)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3">
      <c r="A379" s="185"/>
      <c r="B379" s="186"/>
      <c r="C379" s="186"/>
      <c r="D379" s="215">
        <v>3</v>
      </c>
      <c r="E379" s="216" t="s">
        <v>55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IFERROR(__xludf.DUMMYFUNCTION("IMPORTRANGE(""https://docs.google.com/spreadsheets/d/11923uPwbBZFjjGgGUA6NLw09EwE0CqkOc4q9oUmW1yo/edit?usp=sharing"",""พิจิตร!J274"")"),0)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3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IFERROR(__xludf.DUMMYFUNCTION("IMPORTRANGE(""https://docs.google.com/spreadsheets/d/11923uPwbBZFjjGgGUA6NLw09EwE0CqkOc4q9oUmW1yo/edit?usp=sharing"",""พิจิตร!I275"")"),200)</f>
        <v>200</v>
      </c>
      <c r="J380" s="379">
        <f ca="1">IFERROR(__xludf.DUMMYFUNCTION("IMPORTRANGE(""https://docs.google.com/spreadsheets/d/11923uPwbBZFjjGgGUA6NLw09EwE0CqkOc4q9oUmW1yo/edit?usp=sharing"",""พิจิตร!J275"")"),0)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IFERROR(__xludf.DUMMYFUNCTION("IMPORTRANGE(""https://docs.google.com/spreadsheets/d/11923uPwbBZFjjGgGUA6NLw09EwE0CqkOc4q9oUmW1yo/edit?usp=sharing"",""พิจิตร!L275"")"),207560)</f>
        <v>207560</v>
      </c>
      <c r="M380" s="381"/>
      <c r="N380" s="381">
        <f ca="1">IFERROR(__xludf.DUMMYFUNCTION("IMPORTRANGE(""https://docs.google.com/spreadsheets/d/11923uPwbBZFjjGgGUA6NLw09EwE0CqkOc4q9oUmW1yo/edit?usp=sharing"",""พิจิตร!M275"")"),0)</f>
        <v>0</v>
      </c>
      <c r="O380" s="381">
        <f ca="1">+IF(L380&gt;0,N380*100/L380,0)</f>
        <v>0</v>
      </c>
      <c r="P380" s="381"/>
    </row>
    <row r="381" spans="1:16" ht="21.75" customHeight="1" x14ac:dyDescent="0.3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IFERROR(__xludf.DUMMYFUNCTION("IMPORTRANGE(""https://docs.google.com/spreadsheets/d/11923uPwbBZFjjGgGUA6NLw09EwE0CqkOc4q9oUmW1yo/edit?usp=sharing"",""พิจิตร!I276"")"),20)</f>
        <v>20</v>
      </c>
      <c r="J381" s="379">
        <f ca="1">IFERROR(__xludf.DUMMYFUNCTION("IMPORTRANGE(""https://docs.google.com/spreadsheets/d/11923uPwbBZFjjGgGUA6NLw09EwE0CqkOc4q9oUmW1yo/edit?usp=sharing"",""พิจิตร!J276"")"),0)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3">
      <c r="A382" s="164"/>
      <c r="B382" s="165"/>
      <c r="C382" s="165" t="s">
        <v>16</v>
      </c>
      <c r="D382" s="166" t="s">
        <v>38</v>
      </c>
      <c r="E382" s="167"/>
      <c r="F382" s="167"/>
      <c r="G382" s="168" t="s">
        <v>39</v>
      </c>
      <c r="H382" s="169" t="s">
        <v>12</v>
      </c>
      <c r="I382" s="170" t="s">
        <v>40</v>
      </c>
      <c r="J382" s="170"/>
      <c r="K382" s="171"/>
      <c r="L382" s="172">
        <f ca="1">IFERROR(__xludf.DUMMYFUNCTION("IMPORTRANGE(""https://docs.google.com/spreadsheets/d/11923uPwbBZFjjGgGUA6NLw09EwE0CqkOc4q9oUmW1yo/edit?usp=sharing"",""พิจิตร!L277"")"),0)</f>
        <v>0</v>
      </c>
      <c r="M382" s="172"/>
      <c r="N382" s="172">
        <f ca="1">IFERROR(__xludf.DUMMYFUNCTION("IMPORTRANGE(""https://docs.google.com/spreadsheets/d/11923uPwbBZFjjGgGUA6NLw09EwE0CqkOc4q9oUmW1yo/edit?usp=sharing"",""พิจิตร!M277"")"),0)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3">
      <c r="A383" s="164"/>
      <c r="B383" s="165"/>
      <c r="C383" s="165"/>
      <c r="D383" s="174"/>
      <c r="E383" s="167"/>
      <c r="F383" s="167" t="s">
        <v>40</v>
      </c>
      <c r="G383" s="168" t="s">
        <v>41</v>
      </c>
      <c r="H383" s="169" t="s">
        <v>12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IFERROR(__xludf.DUMMYFUNCTION("IMPORTRANGE(""https://docs.google.com/spreadsheets/d/11923uPwbBZFjjGgGUA6NLw09EwE0CqkOc4q9oUmW1yo/edit?usp=sharing"",""พิจิตร!L278"")"),207560)</f>
        <v>207560</v>
      </c>
      <c r="M383" s="173"/>
      <c r="N383" s="173">
        <f ca="1">IFERROR(__xludf.DUMMYFUNCTION("IMPORTRANGE(""https://docs.google.com/spreadsheets/d/11923uPwbBZFjjGgGUA6NLw09EwE0CqkOc4q9oUmW1yo/edit?usp=sharing"",""พิจิตร!M278"")"),0)</f>
        <v>0</v>
      </c>
      <c r="O383" s="173">
        <f t="shared" ca="1" si="109"/>
        <v>0</v>
      </c>
      <c r="P383" s="173"/>
    </row>
    <row r="384" spans="1:16" ht="21.75" customHeight="1" x14ac:dyDescent="0.3">
      <c r="A384" s="164"/>
      <c r="B384" s="165"/>
      <c r="C384" s="165"/>
      <c r="D384" s="174"/>
      <c r="E384" s="167"/>
      <c r="F384" s="167"/>
      <c r="G384" s="382" t="s">
        <v>129</v>
      </c>
      <c r="H384" s="169" t="s">
        <v>12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IFERROR(__xludf.DUMMYFUNCTION("IMPORTRANGE(""https://docs.google.com/spreadsheets/d/11923uPwbBZFjjGgGUA6NLw09EwE0CqkOc4q9oUmW1yo/edit?usp=sharing"",""พิจิตร!L279"")"),0)</f>
        <v>0</v>
      </c>
      <c r="M384" s="178"/>
      <c r="N384" s="178">
        <f ca="1">IFERROR(__xludf.DUMMYFUNCTION("IMPORTRANGE(""https://docs.google.com/spreadsheets/d/11923uPwbBZFjjGgGUA6NLw09EwE0CqkOc4q9oUmW1yo/edit?usp=sharing"",""พิจิตร!M279"")"),0)</f>
        <v>0</v>
      </c>
      <c r="O384" s="178">
        <f t="shared" ca="1" si="109"/>
        <v>0</v>
      </c>
      <c r="P384" s="178"/>
    </row>
    <row r="385" spans="1:16" ht="21.75" customHeight="1" x14ac:dyDescent="0.3">
      <c r="A385" s="164"/>
      <c r="B385" s="165"/>
      <c r="C385" s="165"/>
      <c r="D385" s="174"/>
      <c r="E385" s="167"/>
      <c r="F385" s="167"/>
      <c r="G385" s="382" t="s">
        <v>130</v>
      </c>
      <c r="H385" s="169" t="s">
        <v>12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IFERROR(__xludf.DUMMYFUNCTION("IMPORTRANGE(""https://docs.google.com/spreadsheets/d/11923uPwbBZFjjGgGUA6NLw09EwE0CqkOc4q9oUmW1yo/edit?usp=sharing"",""พิจิตร!L280"")"),207560)</f>
        <v>207560</v>
      </c>
      <c r="M385" s="178"/>
      <c r="N385" s="175">
        <f ca="1">IFERROR(__xludf.DUMMYFUNCTION("IMPORTRANGE(""https://docs.google.com/spreadsheets/d/11923uPwbBZFjjGgGUA6NLw09EwE0CqkOc4q9oUmW1yo/edit?usp=sharing"",""พิจิตร!M280"")"),0)</f>
        <v>0</v>
      </c>
      <c r="O385" s="178">
        <f t="shared" ca="1" si="109"/>
        <v>0</v>
      </c>
      <c r="P385" s="178"/>
    </row>
    <row r="386" spans="1:16" ht="21.75" customHeight="1" x14ac:dyDescent="0.3">
      <c r="A386" s="383"/>
      <c r="B386" s="384"/>
      <c r="C386" s="165"/>
      <c r="D386" s="385"/>
      <c r="E386" s="167"/>
      <c r="F386" s="167"/>
      <c r="G386" s="386" t="s">
        <v>131</v>
      </c>
      <c r="H386" s="169" t="s">
        <v>12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IFERROR(__xludf.DUMMYFUNCTION("IMPORTRANGE(""https://docs.google.com/spreadsheets/d/11923uPwbBZFjjGgGUA6NLw09EwE0CqkOc4q9oUmW1yo/edit?usp=sharing"",""พิจิตร!M281"")"),0)</f>
        <v>0</v>
      </c>
      <c r="O386" s="178"/>
      <c r="P386" s="178"/>
    </row>
    <row r="387" spans="1:16" ht="21.75" customHeight="1" x14ac:dyDescent="0.3">
      <c r="A387" s="383"/>
      <c r="B387" s="384"/>
      <c r="C387" s="165"/>
      <c r="D387" s="385"/>
      <c r="E387" s="167"/>
      <c r="F387" s="167"/>
      <c r="G387" s="386" t="s">
        <v>132</v>
      </c>
      <c r="H387" s="169" t="s">
        <v>12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IFERROR(__xludf.DUMMYFUNCTION("IMPORTRANGE(""https://docs.google.com/spreadsheets/d/11923uPwbBZFjjGgGUA6NLw09EwE0CqkOc4q9oUmW1yo/edit?usp=sharing"",""พิจิตร!M282"")"),0)</f>
        <v>0</v>
      </c>
      <c r="O387" s="178"/>
      <c r="P387" s="178"/>
    </row>
    <row r="388" spans="1:16" ht="21.75" customHeight="1" x14ac:dyDescent="0.3">
      <c r="A388" s="383"/>
      <c r="B388" s="384"/>
      <c r="C388" s="165"/>
      <c r="D388" s="385"/>
      <c r="E388" s="167"/>
      <c r="F388" s="167"/>
      <c r="G388" s="386" t="s">
        <v>133</v>
      </c>
      <c r="H388" s="169" t="s">
        <v>12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IFERROR(__xludf.DUMMYFUNCTION("IMPORTRANGE(""https://docs.google.com/spreadsheets/d/11923uPwbBZFjjGgGUA6NLw09EwE0CqkOc4q9oUmW1yo/edit?usp=sharing"",""พิจิตร!M283"")"),0)</f>
        <v>0</v>
      </c>
      <c r="O388" s="178"/>
      <c r="P388" s="178"/>
    </row>
    <row r="389" spans="1:16" ht="21.75" customHeight="1" x14ac:dyDescent="0.3">
      <c r="A389" s="383"/>
      <c r="B389" s="384"/>
      <c r="C389" s="165"/>
      <c r="D389" s="385"/>
      <c r="E389" s="167"/>
      <c r="F389" s="167"/>
      <c r="G389" s="386" t="s">
        <v>134</v>
      </c>
      <c r="H389" s="169" t="s">
        <v>12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IFERROR(__xludf.DUMMYFUNCTION("IMPORTRANGE(""https://docs.google.com/spreadsheets/d/11923uPwbBZFjjGgGUA6NLw09EwE0CqkOc4q9oUmW1yo/edit?usp=sharing"",""พิจิตร!M284"")"),0)</f>
        <v>0</v>
      </c>
      <c r="O389" s="178"/>
      <c r="P389" s="178"/>
    </row>
    <row r="390" spans="1:16" ht="21.75" customHeight="1" x14ac:dyDescent="0.3">
      <c r="A390" s="185"/>
      <c r="B390" s="186"/>
      <c r="C390" s="165" t="s">
        <v>16</v>
      </c>
      <c r="D390" s="187" t="s">
        <v>44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3">
      <c r="A391" s="185"/>
      <c r="B391" s="186"/>
      <c r="C391" s="186"/>
      <c r="D391" s="192">
        <v>1</v>
      </c>
      <c r="E391" s="193" t="s">
        <v>45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IFERROR(__xludf.DUMMYFUNCTION("IMPORTRANGE(""https://docs.google.com/spreadsheets/d/11923uPwbBZFjjGgGUA6NLw09EwE0CqkOc4q9oUmW1yo/edit?usp=sharing"",""พิจิตร!J286"")"),0)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3">
      <c r="A392" s="185"/>
      <c r="B392" s="186"/>
      <c r="C392" s="186"/>
      <c r="D392" s="199">
        <v>2</v>
      </c>
      <c r="E392" s="200" t="s">
        <v>46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IFERROR(__xludf.DUMMYFUNCTION("IMPORTRANGE(""https://docs.google.com/spreadsheets/d/11923uPwbBZFjjGgGUA6NLw09EwE0CqkOc4q9oUmW1yo/edit?usp=sharing"",""พิจิตร!J287"")"),1)</f>
        <v>1</v>
      </c>
      <c r="K392" s="171"/>
      <c r="L392" s="191" t="s">
        <v>40</v>
      </c>
      <c r="M392" s="191"/>
      <c r="N392" s="191" t="s">
        <v>40</v>
      </c>
      <c r="O392" s="191"/>
      <c r="P392" s="191"/>
    </row>
    <row r="393" spans="1:16" ht="21.75" customHeight="1" x14ac:dyDescent="0.3">
      <c r="A393" s="185"/>
      <c r="B393" s="186"/>
      <c r="C393" s="186"/>
      <c r="D393" s="203"/>
      <c r="E393" s="204" t="s">
        <v>47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IFERROR(__xludf.DUMMYFUNCTION("IMPORTRANGE(""https://docs.google.com/spreadsheets/d/11923uPwbBZFjjGgGUA6NLw09EwE0CqkOc4q9oUmW1yo/edit?usp=sharing"",""พิจิตร!J288"")"),1)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3">
      <c r="A394" s="185"/>
      <c r="B394" s="186"/>
      <c r="C394" s="186"/>
      <c r="D394" s="203"/>
      <c r="E394" s="204" t="s">
        <v>48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IFERROR(__xludf.DUMMYFUNCTION("IMPORTRANGE(""https://docs.google.com/spreadsheets/d/11923uPwbBZFjjGgGUA6NLw09EwE0CqkOc4q9oUmW1yo/edit?usp=sharing"",""พิจิตร!J289"")"),1)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3">
      <c r="A395" s="185"/>
      <c r="B395" s="186"/>
      <c r="C395" s="186"/>
      <c r="D395" s="203"/>
      <c r="E395" s="208"/>
      <c r="F395" s="204" t="s">
        <v>146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3">
      <c r="A396" s="185"/>
      <c r="B396" s="186"/>
      <c r="C396" s="186"/>
      <c r="D396" s="203"/>
      <c r="E396" s="208"/>
      <c r="F396" s="205"/>
      <c r="G396" s="301" t="s">
        <v>70</v>
      </c>
      <c r="H396" s="196" t="s">
        <v>37</v>
      </c>
      <c r="I396" s="197">
        <f ca="1">IFERROR(__xludf.DUMMYFUNCTION("IMPORTRANGE(""https://docs.google.com/spreadsheets/d/11923uPwbBZFjjGgGUA6NLw09EwE0CqkOc4q9oUmW1yo/edit?usp=sharing"",""พิจิตร!I291"")"),20)</f>
        <v>20</v>
      </c>
      <c r="J396" s="207">
        <f ca="1">IFERROR(__xludf.DUMMYFUNCTION("IMPORTRANGE(""https://docs.google.com/spreadsheets/d/11923uPwbBZFjjGgGUA6NLw09EwE0CqkOc4q9oUmW1yo/edit?usp=sharing"",""พิจิตร!J291"")"),0)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3">
      <c r="A397" s="185"/>
      <c r="B397" s="186"/>
      <c r="C397" s="186"/>
      <c r="D397" s="203"/>
      <c r="E397" s="208"/>
      <c r="F397" s="205"/>
      <c r="G397" s="206" t="s">
        <v>53</v>
      </c>
      <c r="H397" s="196" t="s">
        <v>122</v>
      </c>
      <c r="I397" s="197">
        <f ca="1">IFERROR(__xludf.DUMMYFUNCTION("IMPORTRANGE(""https://docs.google.com/spreadsheets/d/11923uPwbBZFjjGgGUA6NLw09EwE0CqkOc4q9oUmW1yo/edit?usp=sharing"",""พิจิตร!I292"")"),200)</f>
        <v>200</v>
      </c>
      <c r="J397" s="207">
        <f ca="1">IFERROR(__xludf.DUMMYFUNCTION("IMPORTRANGE(""https://docs.google.com/spreadsheets/d/11923uPwbBZFjjGgGUA6NLw09EwE0CqkOc4q9oUmW1yo/edit?usp=sharing"",""พิจิตร!J292"")"),0)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3">
      <c r="A398" s="185"/>
      <c r="B398" s="186"/>
      <c r="C398" s="186"/>
      <c r="D398" s="203"/>
      <c r="E398" s="208"/>
      <c r="F398" s="205"/>
      <c r="G398" s="206"/>
      <c r="H398" s="196" t="s">
        <v>37</v>
      </c>
      <c r="I398" s="197">
        <f ca="1">IFERROR(__xludf.DUMMYFUNCTION("IMPORTRANGE(""https://docs.google.com/spreadsheets/d/11923uPwbBZFjjGgGUA6NLw09EwE0CqkOc4q9oUmW1yo/edit?usp=sharing"",""พิจิตร!I293"")"),20)</f>
        <v>20</v>
      </c>
      <c r="J398" s="207">
        <f ca="1">IFERROR(__xludf.DUMMYFUNCTION("IMPORTRANGE(""https://docs.google.com/spreadsheets/d/11923uPwbBZFjjGgGUA6NLw09EwE0CqkOc4q9oUmW1yo/edit?usp=sharing"",""พิจิตร!J293"")"),0)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3">
      <c r="A399" s="185"/>
      <c r="B399" s="186"/>
      <c r="C399" s="186"/>
      <c r="D399" s="203"/>
      <c r="E399" s="204" t="s">
        <v>54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IFERROR(__xludf.DUMMYFUNCTION("IMPORTRANGE(""https://docs.google.com/spreadsheets/d/11923uPwbBZFjjGgGUA6NLw09EwE0CqkOc4q9oUmW1yo/edit?usp=sharing"",""พิจิตร!J294"")"),0)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3">
      <c r="A400" s="185"/>
      <c r="B400" s="186"/>
      <c r="C400" s="186"/>
      <c r="D400" s="215">
        <v>3</v>
      </c>
      <c r="E400" s="216" t="s">
        <v>55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IFERROR(__xludf.DUMMYFUNCTION("IMPORTRANGE(""https://docs.google.com/spreadsheets/d/11923uPwbBZFjjGgGUA6NLw09EwE0CqkOc4q9oUmW1yo/edit?usp=sharing"",""พิจิตร!J295"")"),0)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3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IFERROR(__xludf.DUMMYFUNCTION("IMPORTRANGE(""https://docs.google.com/spreadsheets/d/11923uPwbBZFjjGgGUA6NLw09EwE0CqkOc4q9oUmW1yo/edit?usp=sharing"",""พิจิตร!I296"")"),174)</f>
        <v>174</v>
      </c>
      <c r="J401" s="379">
        <f ca="1">IFERROR(__xludf.DUMMYFUNCTION("IMPORTRANGE(""https://docs.google.com/spreadsheets/d/11923uPwbBZFjjGgGUA6NLw09EwE0CqkOc4q9oUmW1yo/edit?usp=sharing"",""พิจิตร!J296"")"),0)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IFERROR(__xludf.DUMMYFUNCTION("IMPORTRANGE(""https://docs.google.com/spreadsheets/d/11923uPwbBZFjjGgGUA6NLw09EwE0CqkOc4q9oUmW1yo/edit?usp=sharing"",""พิจิตร!L296"")"),195900)</f>
        <v>195900</v>
      </c>
      <c r="M401" s="381"/>
      <c r="N401" s="381">
        <f ca="1">IFERROR(__xludf.DUMMYFUNCTION("IMPORTRANGE(""https://docs.google.com/spreadsheets/d/11923uPwbBZFjjGgGUA6NLw09EwE0CqkOc4q9oUmW1yo/edit?usp=sharing"",""พิจิตร!M296"")"),20961)</f>
        <v>20961</v>
      </c>
      <c r="O401" s="381">
        <f ca="1">+IF(L401&gt;0,N401*100/L401,0)</f>
        <v>10.699846860643186</v>
      </c>
      <c r="P401" s="381"/>
    </row>
    <row r="402" spans="1:16" ht="21.75" customHeight="1" x14ac:dyDescent="0.3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IFERROR(__xludf.DUMMYFUNCTION("IMPORTRANGE(""https://docs.google.com/spreadsheets/d/11923uPwbBZFjjGgGUA6NLw09EwE0CqkOc4q9oUmW1yo/edit?usp=sharing"",""พิจิตร!I297"")"),58)</f>
        <v>58</v>
      </c>
      <c r="J402" s="379">
        <f ca="1">IFERROR(__xludf.DUMMYFUNCTION("IMPORTRANGE(""https://docs.google.com/spreadsheets/d/11923uPwbBZFjjGgGUA6NLw09EwE0CqkOc4q9oUmW1yo/edit?usp=sharing"",""พิจิตร!J297"")"),0)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3">
      <c r="A403" s="164"/>
      <c r="B403" s="165"/>
      <c r="C403" s="165" t="s">
        <v>16</v>
      </c>
      <c r="D403" s="166" t="s">
        <v>38</v>
      </c>
      <c r="E403" s="167"/>
      <c r="F403" s="167"/>
      <c r="G403" s="168" t="s">
        <v>39</v>
      </c>
      <c r="H403" s="169" t="s">
        <v>12</v>
      </c>
      <c r="I403" s="170" t="s">
        <v>40</v>
      </c>
      <c r="J403" s="170"/>
      <c r="K403" s="171"/>
      <c r="L403" s="172">
        <f ca="1">IFERROR(__xludf.DUMMYFUNCTION("IMPORTRANGE(""https://docs.google.com/spreadsheets/d/11923uPwbBZFjjGgGUA6NLw09EwE0CqkOc4q9oUmW1yo/edit?usp=sharing"",""พิจิตร!L298"")"),0)</f>
        <v>0</v>
      </c>
      <c r="M403" s="172"/>
      <c r="N403" s="178">
        <f ca="1">IFERROR(__xludf.DUMMYFUNCTION("IMPORTRANGE(""https://docs.google.com/spreadsheets/d/11923uPwbBZFjjGgGUA6NLw09EwE0CqkOc4q9oUmW1yo/edit?usp=sharing"",""พิจิตร!M298"")"),0)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3">
      <c r="A404" s="164"/>
      <c r="B404" s="165"/>
      <c r="C404" s="165"/>
      <c r="D404" s="174"/>
      <c r="E404" s="167"/>
      <c r="F404" s="167" t="s">
        <v>40</v>
      </c>
      <c r="G404" s="168" t="s">
        <v>41</v>
      </c>
      <c r="H404" s="169" t="s">
        <v>12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IFERROR(__xludf.DUMMYFUNCTION("IMPORTRANGE(""https://docs.google.com/spreadsheets/d/11923uPwbBZFjjGgGUA6NLw09EwE0CqkOc4q9oUmW1yo/edit?usp=sharing"",""พิจิตร!L299"")"),195900)</f>
        <v>195900</v>
      </c>
      <c r="M404" s="173"/>
      <c r="N404" s="178">
        <f ca="1">IFERROR(__xludf.DUMMYFUNCTION("IMPORTRANGE(""https://docs.google.com/spreadsheets/d/11923uPwbBZFjjGgGUA6NLw09EwE0CqkOc4q9oUmW1yo/edit?usp=sharing"",""พิจิตร!M299"")"),20961)</f>
        <v>20961</v>
      </c>
      <c r="O404" s="178">
        <f t="shared" ca="1" si="112"/>
        <v>10.699846860643186</v>
      </c>
      <c r="P404" s="178"/>
    </row>
    <row r="405" spans="1:16" ht="21.75" customHeight="1" x14ac:dyDescent="0.3">
      <c r="A405" s="164"/>
      <c r="B405" s="165"/>
      <c r="C405" s="165"/>
      <c r="D405" s="174"/>
      <c r="E405" s="167"/>
      <c r="F405" s="167"/>
      <c r="G405" s="382" t="s">
        <v>129</v>
      </c>
      <c r="H405" s="169" t="s">
        <v>12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IFERROR(__xludf.DUMMYFUNCTION("IMPORTRANGE(""https://docs.google.com/spreadsheets/d/11923uPwbBZFjjGgGUA6NLw09EwE0CqkOc4q9oUmW1yo/edit?usp=sharing"",""พิจิตร!L300"")"),0)</f>
        <v>0</v>
      </c>
      <c r="M405" s="178"/>
      <c r="N405" s="178">
        <f ca="1">IFERROR(__xludf.DUMMYFUNCTION("IMPORTRANGE(""https://docs.google.com/spreadsheets/d/11923uPwbBZFjjGgGUA6NLw09EwE0CqkOc4q9oUmW1yo/edit?usp=sharing"",""พิจิตร!M300"")"),0)</f>
        <v>0</v>
      </c>
      <c r="O405" s="178">
        <f t="shared" ca="1" si="112"/>
        <v>0</v>
      </c>
      <c r="P405" s="178"/>
    </row>
    <row r="406" spans="1:16" ht="21.75" customHeight="1" x14ac:dyDescent="0.3">
      <c r="A406" s="164"/>
      <c r="B406" s="165"/>
      <c r="C406" s="165"/>
      <c r="D406" s="174"/>
      <c r="E406" s="167"/>
      <c r="F406" s="167"/>
      <c r="G406" s="382" t="s">
        <v>130</v>
      </c>
      <c r="H406" s="169" t="s">
        <v>12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IFERROR(__xludf.DUMMYFUNCTION("IMPORTRANGE(""https://docs.google.com/spreadsheets/d/11923uPwbBZFjjGgGUA6NLw09EwE0CqkOc4q9oUmW1yo/edit?usp=sharing"",""พิจิตร!L301"")"),195900)</f>
        <v>195900</v>
      </c>
      <c r="M406" s="178"/>
      <c r="N406" s="178">
        <f ca="1">IFERROR(__xludf.DUMMYFUNCTION("IMPORTRANGE(""https://docs.google.com/spreadsheets/d/11923uPwbBZFjjGgGUA6NLw09EwE0CqkOc4q9oUmW1yo/edit?usp=sharing"",""พิจิตร!M301"")"),20961)</f>
        <v>20961</v>
      </c>
      <c r="O406" s="178">
        <f t="shared" ca="1" si="112"/>
        <v>10.699846860643186</v>
      </c>
      <c r="P406" s="178"/>
    </row>
    <row r="407" spans="1:16" ht="21.75" customHeight="1" x14ac:dyDescent="0.3">
      <c r="A407" s="383"/>
      <c r="B407" s="384"/>
      <c r="C407" s="165"/>
      <c r="D407" s="385"/>
      <c r="E407" s="167"/>
      <c r="F407" s="167"/>
      <c r="G407" s="386" t="s">
        <v>131</v>
      </c>
      <c r="H407" s="169" t="s">
        <v>12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IFERROR(__xludf.DUMMYFUNCTION("IMPORTRANGE(""https://docs.google.com/spreadsheets/d/11923uPwbBZFjjGgGUA6NLw09EwE0CqkOc4q9oUmW1yo/edit?usp=sharing"",""พิจิตร!M302"")"),10266)</f>
        <v>10266</v>
      </c>
      <c r="O407" s="178"/>
      <c r="P407" s="178"/>
    </row>
    <row r="408" spans="1:16" ht="21.75" customHeight="1" x14ac:dyDescent="0.3">
      <c r="A408" s="383"/>
      <c r="B408" s="384"/>
      <c r="C408" s="165"/>
      <c r="D408" s="385"/>
      <c r="E408" s="167"/>
      <c r="F408" s="167"/>
      <c r="G408" s="386" t="s">
        <v>132</v>
      </c>
      <c r="H408" s="169" t="s">
        <v>12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IFERROR(__xludf.DUMMYFUNCTION("IMPORTRANGE(""https://docs.google.com/spreadsheets/d/11923uPwbBZFjjGgGUA6NLw09EwE0CqkOc4q9oUmW1yo/edit?usp=sharing"",""พิจิตร!M303"")"),0)</f>
        <v>0</v>
      </c>
      <c r="O408" s="178"/>
      <c r="P408" s="178"/>
    </row>
    <row r="409" spans="1:16" ht="21.75" customHeight="1" x14ac:dyDescent="0.3">
      <c r="A409" s="383"/>
      <c r="B409" s="384"/>
      <c r="C409" s="165"/>
      <c r="D409" s="385"/>
      <c r="E409" s="167"/>
      <c r="F409" s="167"/>
      <c r="G409" s="386" t="s">
        <v>133</v>
      </c>
      <c r="H409" s="169" t="s">
        <v>12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IFERROR(__xludf.DUMMYFUNCTION("IMPORTRANGE(""https://docs.google.com/spreadsheets/d/11923uPwbBZFjjGgGUA6NLw09EwE0CqkOc4q9oUmW1yo/edit?usp=sharing"",""พิจิตร!M304"")"),0)</f>
        <v>0</v>
      </c>
      <c r="O409" s="178"/>
      <c r="P409" s="178"/>
    </row>
    <row r="410" spans="1:16" ht="21.75" customHeight="1" x14ac:dyDescent="0.3">
      <c r="A410" s="383"/>
      <c r="B410" s="384"/>
      <c r="C410" s="165"/>
      <c r="D410" s="385"/>
      <c r="E410" s="167"/>
      <c r="F410" s="167"/>
      <c r="G410" s="386" t="s">
        <v>134</v>
      </c>
      <c r="H410" s="169" t="s">
        <v>12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IFERROR(__xludf.DUMMYFUNCTION("IMPORTRANGE(""https://docs.google.com/spreadsheets/d/11923uPwbBZFjjGgGUA6NLw09EwE0CqkOc4q9oUmW1yo/edit?usp=sharing"",""พิจิตร!M305"")"),10695)</f>
        <v>10695</v>
      </c>
      <c r="O410" s="178"/>
      <c r="P410" s="178"/>
    </row>
    <row r="411" spans="1:16" ht="21.75" customHeight="1" x14ac:dyDescent="0.3">
      <c r="A411" s="185"/>
      <c r="B411" s="186"/>
      <c r="C411" s="165" t="s">
        <v>16</v>
      </c>
      <c r="D411" s="187" t="s">
        <v>44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3">
      <c r="A412" s="185"/>
      <c r="B412" s="186"/>
      <c r="C412" s="186"/>
      <c r="D412" s="192">
        <v>1</v>
      </c>
      <c r="E412" s="193" t="s">
        <v>45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IFERROR(__xludf.DUMMYFUNCTION("IMPORTRANGE(""https://docs.google.com/spreadsheets/d/11923uPwbBZFjjGgGUA6NLw09EwE0CqkOc4q9oUmW1yo/edit?usp=sharing"",""พิจิตร!J307"")"),0)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3">
      <c r="A413" s="185"/>
      <c r="B413" s="186"/>
      <c r="C413" s="186"/>
      <c r="D413" s="199">
        <v>2</v>
      </c>
      <c r="E413" s="200" t="s">
        <v>46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IFERROR(__xludf.DUMMYFUNCTION("IMPORTRANGE(""https://docs.google.com/spreadsheets/d/11923uPwbBZFjjGgGUA6NLw09EwE0CqkOc4q9oUmW1yo/edit?usp=sharing"",""พิจิตร!J308"")"),1)</f>
        <v>1</v>
      </c>
      <c r="K413" s="171"/>
      <c r="L413" s="191" t="s">
        <v>40</v>
      </c>
      <c r="M413" s="191"/>
      <c r="N413" s="191" t="s">
        <v>40</v>
      </c>
      <c r="O413" s="191"/>
      <c r="P413" s="191"/>
    </row>
    <row r="414" spans="1:16" ht="21.75" customHeight="1" x14ac:dyDescent="0.3">
      <c r="A414" s="185"/>
      <c r="B414" s="186"/>
      <c r="C414" s="186"/>
      <c r="D414" s="203"/>
      <c r="E414" s="204" t="s">
        <v>47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IFERROR(__xludf.DUMMYFUNCTION("IMPORTRANGE(""https://docs.google.com/spreadsheets/d/11923uPwbBZFjjGgGUA6NLw09EwE0CqkOc4q9oUmW1yo/edit?usp=sharing"",""พิจิตร!J309"")"),1)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3">
      <c r="A415" s="185"/>
      <c r="B415" s="186"/>
      <c r="C415" s="186"/>
      <c r="D415" s="203"/>
      <c r="E415" s="204" t="s">
        <v>48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IFERROR(__xludf.DUMMYFUNCTION("IMPORTRANGE(""https://docs.google.com/spreadsheets/d/11923uPwbBZFjjGgGUA6NLw09EwE0CqkOc4q9oUmW1yo/edit?usp=sharing"",""พิจิตร!J310"")"),1)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3">
      <c r="A416" s="185"/>
      <c r="B416" s="186"/>
      <c r="C416" s="186"/>
      <c r="D416" s="203"/>
      <c r="E416" s="208"/>
      <c r="F416" s="204" t="s">
        <v>70</v>
      </c>
      <c r="G416" s="396"/>
      <c r="H416" s="397" t="s">
        <v>37</v>
      </c>
      <c r="I416" s="210">
        <f ca="1">IFERROR(__xludf.DUMMYFUNCTION("IMPORTRANGE(""https://docs.google.com/spreadsheets/d/11923uPwbBZFjjGgGUA6NLw09EwE0CqkOc4q9oUmW1yo/edit?usp=sharing"",""พิจิตร!I311"")"),58)</f>
        <v>58</v>
      </c>
      <c r="J416" s="210">
        <f ca="1">IFERROR(__xludf.DUMMYFUNCTION("IMPORTRANGE(""https://docs.google.com/spreadsheets/d/11923uPwbBZFjjGgGUA6NLw09EwE0CqkOc4q9oUmW1yo/edit?usp=sharing"",""พิจิตร!J311"")"),0)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45">
      <c r="A417" s="185"/>
      <c r="B417" s="186"/>
      <c r="C417" s="186"/>
      <c r="D417" s="203"/>
      <c r="E417" s="208"/>
      <c r="F417" s="398" t="s">
        <v>148</v>
      </c>
      <c r="G417" s="206"/>
      <c r="H417" s="209" t="s">
        <v>37</v>
      </c>
      <c r="I417" s="399">
        <f ca="1">IFERROR(__xludf.DUMMYFUNCTION("IMPORTRANGE(""https://docs.google.com/spreadsheets/d/11923uPwbBZFjjGgGUA6NLw09EwE0CqkOc4q9oUmW1yo/edit?usp=sharing"",""พิจิตร!I312"")"),10)</f>
        <v>10</v>
      </c>
      <c r="J417" s="400">
        <f ca="1">IFERROR(__xludf.DUMMYFUNCTION("IMPORTRANGE(""https://docs.google.com/spreadsheets/d/11923uPwbBZFjjGgGUA6NLw09EwE0CqkOc4q9oUmW1yo/edit?usp=sharing"",""พิจิตร!J312"")"),0)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45">
      <c r="A418" s="185"/>
      <c r="B418" s="186"/>
      <c r="C418" s="186"/>
      <c r="D418" s="203"/>
      <c r="E418" s="208"/>
      <c r="F418" s="205"/>
      <c r="G418" s="206"/>
      <c r="H418" s="209" t="s">
        <v>122</v>
      </c>
      <c r="I418" s="399">
        <f ca="1">IFERROR(__xludf.DUMMYFUNCTION("IMPORTRANGE(""https://docs.google.com/spreadsheets/d/11923uPwbBZFjjGgGUA6NLw09EwE0CqkOc4q9oUmW1yo/edit?usp=sharing"",""พิจิตร!I313"")"),30)</f>
        <v>30</v>
      </c>
      <c r="J418" s="401">
        <f ca="1">IFERROR(__xludf.DUMMYFUNCTION("IMPORTRANGE(""https://docs.google.com/spreadsheets/d/11923uPwbBZFjjGgGUA6NLw09EwE0CqkOc4q9oUmW1yo/edit?usp=sharing"",""พิจิตร!J313"")"),0)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45">
      <c r="A419" s="185"/>
      <c r="B419" s="186"/>
      <c r="C419" s="186"/>
      <c r="D419" s="203"/>
      <c r="E419" s="208"/>
      <c r="F419" s="205"/>
      <c r="G419" s="235" t="s">
        <v>149</v>
      </c>
      <c r="H419" s="190" t="s">
        <v>37</v>
      </c>
      <c r="I419" s="349">
        <f ca="1">IFERROR(__xludf.DUMMYFUNCTION("IMPORTRANGE(""https://docs.google.com/spreadsheets/d/11923uPwbBZFjjGgGUA6NLw09EwE0CqkOc4q9oUmW1yo/edit?usp=sharing"",""พิจิตร!I314"")"),10)</f>
        <v>10</v>
      </c>
      <c r="J419" s="402">
        <f ca="1">IFERROR(__xludf.DUMMYFUNCTION("IMPORTRANGE(""https://docs.google.com/spreadsheets/d/11923uPwbBZFjjGgGUA6NLw09EwE0CqkOc4q9oUmW1yo/edit?usp=sharing"",""พิจิตร!J314"")"),10)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45">
      <c r="A420" s="243"/>
      <c r="B420" s="244"/>
      <c r="C420" s="244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IFERROR(__xludf.DUMMYFUNCTION("IMPORTRANGE(""https://docs.google.com/spreadsheets/d/11923uPwbBZFjjGgGUA6NLw09EwE0CqkOc4q9oUmW1yo/edit?usp=sharing"",""พิจิตร!I315"")"),10)</f>
        <v>10</v>
      </c>
      <c r="J420" s="402">
        <f ca="1">IFERROR(__xludf.DUMMYFUNCTION("IMPORTRANGE(""https://docs.google.com/spreadsheets/d/11923uPwbBZFjjGgGUA6NLw09EwE0CqkOc4q9oUmW1yo/edit?usp=sharing"",""พิจิตร!J315"")"),0)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45">
      <c r="A421" s="185"/>
      <c r="B421" s="186"/>
      <c r="C421" s="186"/>
      <c r="D421" s="203"/>
      <c r="E421" s="208"/>
      <c r="F421" s="398" t="s">
        <v>151</v>
      </c>
      <c r="G421" s="206"/>
      <c r="H421" s="209" t="s">
        <v>37</v>
      </c>
      <c r="I421" s="399">
        <f ca="1">IFERROR(__xludf.DUMMYFUNCTION("IMPORTRANGE(""https://docs.google.com/spreadsheets/d/11923uPwbBZFjjGgGUA6NLw09EwE0CqkOc4q9oUmW1yo/edit?usp=sharing"",""พิจิตร!I316"")"),38)</f>
        <v>38</v>
      </c>
      <c r="J421" s="400">
        <f ca="1">IFERROR(__xludf.DUMMYFUNCTION("IMPORTRANGE(""https://docs.google.com/spreadsheets/d/11923uPwbBZFjjGgGUA6NLw09EwE0CqkOc4q9oUmW1yo/edit?usp=sharing"",""พิจิตร!J316"")"),0)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45">
      <c r="A422" s="185"/>
      <c r="B422" s="186"/>
      <c r="C422" s="186"/>
      <c r="D422" s="203"/>
      <c r="E422" s="208"/>
      <c r="F422" s="205"/>
      <c r="G422" s="206"/>
      <c r="H422" s="209" t="s">
        <v>122</v>
      </c>
      <c r="I422" s="399">
        <f ca="1">IFERROR(__xludf.DUMMYFUNCTION("IMPORTRANGE(""https://docs.google.com/spreadsheets/d/11923uPwbBZFjjGgGUA6NLw09EwE0CqkOc4q9oUmW1yo/edit?usp=sharing"",""พิจิตร!I317"")"),114)</f>
        <v>114</v>
      </c>
      <c r="J422" s="401">
        <f ca="1">IFERROR(__xludf.DUMMYFUNCTION("IMPORTRANGE(""https://docs.google.com/spreadsheets/d/11923uPwbBZFjjGgGUA6NLw09EwE0CqkOc4q9oUmW1yo/edit?usp=sharing"",""พิจิตร!J317"")"),0)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45">
      <c r="A423" s="185"/>
      <c r="B423" s="186"/>
      <c r="C423" s="186"/>
      <c r="D423" s="203"/>
      <c r="E423" s="208"/>
      <c r="F423" s="205"/>
      <c r="G423" s="235" t="s">
        <v>152</v>
      </c>
      <c r="H423" s="190" t="s">
        <v>37</v>
      </c>
      <c r="I423" s="349">
        <f ca="1">IFERROR(__xludf.DUMMYFUNCTION("IMPORTRANGE(""https://docs.google.com/spreadsheets/d/11923uPwbBZFjjGgGUA6NLw09EwE0CqkOc4q9oUmW1yo/edit?usp=sharing"",""พิจิตร!I318"")"),38)</f>
        <v>38</v>
      </c>
      <c r="J423" s="402">
        <f ca="1">IFERROR(__xludf.DUMMYFUNCTION("IMPORTRANGE(""https://docs.google.com/spreadsheets/d/11923uPwbBZFjjGgGUA6NLw09EwE0CqkOc4q9oUmW1yo/edit?usp=sharing"",""พิจิตร!J318"")"),0)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45">
      <c r="A424" s="185"/>
      <c r="B424" s="186"/>
      <c r="C424" s="186"/>
      <c r="D424" s="203"/>
      <c r="E424" s="208"/>
      <c r="F424" s="205"/>
      <c r="G424" s="235" t="s">
        <v>153</v>
      </c>
      <c r="H424" s="190" t="s">
        <v>37</v>
      </c>
      <c r="I424" s="349">
        <f ca="1">IFERROR(__xludf.DUMMYFUNCTION("IMPORTRANGE(""https://docs.google.com/spreadsheets/d/11923uPwbBZFjjGgGUA6NLw09EwE0CqkOc4q9oUmW1yo/edit?usp=sharing"",""พิจิตร!I319"")"),38)</f>
        <v>38</v>
      </c>
      <c r="J424" s="402">
        <f ca="1">IFERROR(__xludf.DUMMYFUNCTION("IMPORTRANGE(""https://docs.google.com/spreadsheets/d/11923uPwbBZFjjGgGUA6NLw09EwE0CqkOc4q9oUmW1yo/edit?usp=sharing"",""พิจิตร!J319"")"),0)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45">
      <c r="A425" s="185"/>
      <c r="B425" s="186"/>
      <c r="C425" s="186"/>
      <c r="D425" s="203"/>
      <c r="E425" s="208"/>
      <c r="F425" s="205"/>
      <c r="G425" s="235" t="s">
        <v>154</v>
      </c>
      <c r="H425" s="190" t="s">
        <v>37</v>
      </c>
      <c r="I425" s="349">
        <f ca="1">IFERROR(__xludf.DUMMYFUNCTION("IMPORTRANGE(""https://docs.google.com/spreadsheets/d/11923uPwbBZFjjGgGUA6NLw09EwE0CqkOc4q9oUmW1yo/edit?usp=sharing"",""พิจิตร!I320"")"),38)</f>
        <v>38</v>
      </c>
      <c r="J425" s="402">
        <f ca="1">IFERROR(__xludf.DUMMYFUNCTION("IMPORTRANGE(""https://docs.google.com/spreadsheets/d/11923uPwbBZFjjGgGUA6NLw09EwE0CqkOc4q9oUmW1yo/edit?usp=sharing"",""พิจิตร!J320"")"),0)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45">
      <c r="A426" s="185"/>
      <c r="B426" s="186"/>
      <c r="C426" s="186"/>
      <c r="D426" s="203"/>
      <c r="E426" s="208"/>
      <c r="F426" s="407" t="s">
        <v>155</v>
      </c>
      <c r="G426" s="206"/>
      <c r="H426" s="209" t="s">
        <v>37</v>
      </c>
      <c r="I426" s="399">
        <f ca="1">IFERROR(__xludf.DUMMYFUNCTION("IMPORTRANGE(""https://docs.google.com/spreadsheets/d/11923uPwbBZFjjGgGUA6NLw09EwE0CqkOc4q9oUmW1yo/edit?usp=sharing"",""พิจิตร!I321"")"),10)</f>
        <v>10</v>
      </c>
      <c r="J426" s="400">
        <f ca="1">IFERROR(__xludf.DUMMYFUNCTION("IMPORTRANGE(""https://docs.google.com/spreadsheets/d/11923uPwbBZFjjGgGUA6NLw09EwE0CqkOc4q9oUmW1yo/edit?usp=sharing"",""พิจิตร!J321"")"),0)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45">
      <c r="A427" s="185"/>
      <c r="B427" s="186"/>
      <c r="C427" s="186"/>
      <c r="D427" s="203"/>
      <c r="E427" s="208"/>
      <c r="F427" s="205"/>
      <c r="G427" s="206"/>
      <c r="H427" s="209" t="s">
        <v>122</v>
      </c>
      <c r="I427" s="399">
        <f ca="1">IFERROR(__xludf.DUMMYFUNCTION("IMPORTRANGE(""https://docs.google.com/spreadsheets/d/11923uPwbBZFjjGgGUA6NLw09EwE0CqkOc4q9oUmW1yo/edit?usp=sharing"",""พิจิตร!I322"")"),30)</f>
        <v>30</v>
      </c>
      <c r="J427" s="401">
        <f ca="1">IFERROR(__xludf.DUMMYFUNCTION("IMPORTRANGE(""https://docs.google.com/spreadsheets/d/11923uPwbBZFjjGgGUA6NLw09EwE0CqkOc4q9oUmW1yo/edit?usp=sharing"",""พิจิตร!J322"")"),0)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45">
      <c r="A428" s="185"/>
      <c r="B428" s="186"/>
      <c r="C428" s="186"/>
      <c r="D428" s="203"/>
      <c r="E428" s="208"/>
      <c r="F428" s="205"/>
      <c r="G428" s="235" t="s">
        <v>156</v>
      </c>
      <c r="H428" s="190" t="s">
        <v>37</v>
      </c>
      <c r="I428" s="408">
        <f ca="1">IFERROR(__xludf.DUMMYFUNCTION("IMPORTRANGE(""https://docs.google.com/spreadsheets/d/11923uPwbBZFjjGgGUA6NLw09EwE0CqkOc4q9oUmW1yo/edit?usp=sharing"",""พิจิตร!I323"")"),10)</f>
        <v>10</v>
      </c>
      <c r="J428" s="402">
        <f ca="1">IFERROR(__xludf.DUMMYFUNCTION("IMPORTRANGE(""https://docs.google.com/spreadsheets/d/11923uPwbBZFjjGgGUA6NLw09EwE0CqkOc4q9oUmW1yo/edit?usp=sharing"",""พิจิตร!J323"")"),0)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45">
      <c r="A429" s="185"/>
      <c r="B429" s="186"/>
      <c r="C429" s="186"/>
      <c r="D429" s="203"/>
      <c r="E429" s="208"/>
      <c r="F429" s="205"/>
      <c r="G429" s="235" t="s">
        <v>157</v>
      </c>
      <c r="H429" s="190" t="s">
        <v>37</v>
      </c>
      <c r="I429" s="408">
        <f ca="1">IFERROR(__xludf.DUMMYFUNCTION("IMPORTRANGE(""https://docs.google.com/spreadsheets/d/11923uPwbBZFjjGgGUA6NLw09EwE0CqkOc4q9oUmW1yo/edit?usp=sharing"",""พิจิตร!I324"")"),10)</f>
        <v>10</v>
      </c>
      <c r="J429" s="402">
        <f ca="1">IFERROR(__xludf.DUMMYFUNCTION("IMPORTRANGE(""https://docs.google.com/spreadsheets/d/11923uPwbBZFjjGgGUA6NLw09EwE0CqkOc4q9oUmW1yo/edit?usp=sharing"",""พิจิตร!J324"")"),0)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45">
      <c r="A430" s="185"/>
      <c r="B430" s="186"/>
      <c r="C430" s="186"/>
      <c r="D430" s="203"/>
      <c r="E430" s="208"/>
      <c r="F430" s="204" t="s">
        <v>53</v>
      </c>
      <c r="G430" s="396"/>
      <c r="H430" s="409" t="s">
        <v>37</v>
      </c>
      <c r="I430" s="210">
        <f ca="1">IFERROR(__xludf.DUMMYFUNCTION("IMPORTRANGE(""https://docs.google.com/spreadsheets/d/11923uPwbBZFjjGgGUA6NLw09EwE0CqkOc4q9oUmW1yo/edit?usp=sharing"",""พิจิตร!I325"")"),48)</f>
        <v>48</v>
      </c>
      <c r="J430" s="400">
        <f ca="1">IFERROR(__xludf.DUMMYFUNCTION("IMPORTRANGE(""https://docs.google.com/spreadsheets/d/11923uPwbBZFjjGgGUA6NLw09EwE0CqkOc4q9oUmW1yo/edit?usp=sharing"",""พิจิตร!J325"")"),0)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45">
      <c r="A431" s="410"/>
      <c r="B431" s="411"/>
      <c r="C431" s="411"/>
      <c r="D431" s="412"/>
      <c r="E431" s="208"/>
      <c r="F431" s="205"/>
      <c r="G431" s="235" t="s">
        <v>158</v>
      </c>
      <c r="H431" s="190" t="s">
        <v>37</v>
      </c>
      <c r="I431" s="408">
        <f ca="1">IFERROR(__xludf.DUMMYFUNCTION("IMPORTRANGE(""https://docs.google.com/spreadsheets/d/11923uPwbBZFjjGgGUA6NLw09EwE0CqkOc4q9oUmW1yo/edit?usp=sharing"",""พิจิตร!I326"")"),10)</f>
        <v>10</v>
      </c>
      <c r="J431" s="402">
        <f ca="1">IFERROR(__xludf.DUMMYFUNCTION("IMPORTRANGE(""https://docs.google.com/spreadsheets/d/11923uPwbBZFjjGgGUA6NLw09EwE0CqkOc4q9oUmW1yo/edit?usp=sharing"",""พิจิตร!J326"")"),0)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45">
      <c r="A432" s="410"/>
      <c r="B432" s="411"/>
      <c r="C432" s="411"/>
      <c r="D432" s="412"/>
      <c r="E432" s="208"/>
      <c r="F432" s="205"/>
      <c r="G432" s="235" t="s">
        <v>159</v>
      </c>
      <c r="H432" s="190" t="s">
        <v>37</v>
      </c>
      <c r="I432" s="408">
        <f ca="1">IFERROR(__xludf.DUMMYFUNCTION("IMPORTRANGE(""https://docs.google.com/spreadsheets/d/11923uPwbBZFjjGgGUA6NLw09EwE0CqkOc4q9oUmW1yo/edit?usp=sharing"",""พิจิตร!I327"")"),38)</f>
        <v>38</v>
      </c>
      <c r="J432" s="402">
        <f ca="1">IFERROR(__xludf.DUMMYFUNCTION("IMPORTRANGE(""https://docs.google.com/spreadsheets/d/11923uPwbBZFjjGgGUA6NLw09EwE0CqkOc4q9oUmW1yo/edit?usp=sharing"",""พิจิตร!J327"")"),0)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3">
      <c r="A433" s="185"/>
      <c r="B433" s="186"/>
      <c r="C433" s="186"/>
      <c r="D433" s="203"/>
      <c r="E433" s="204" t="s">
        <v>54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IFERROR(__xludf.DUMMYFUNCTION("IMPORTRANGE(""https://docs.google.com/spreadsheets/d/11923uPwbBZFjjGgGUA6NLw09EwE0CqkOc4q9oUmW1yo/edit?usp=sharing"",""พิจิตร!J328"")"),0)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3">
      <c r="A434" s="185"/>
      <c r="B434" s="186"/>
      <c r="C434" s="186"/>
      <c r="D434" s="215">
        <v>3</v>
      </c>
      <c r="E434" s="216" t="s">
        <v>55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IFERROR(__xludf.DUMMYFUNCTION("IMPORTRANGE(""https://docs.google.com/spreadsheets/d/11923uPwbBZFjjGgGUA6NLw09EwE0CqkOc4q9oUmW1yo/edit?usp=sharing"",""พิจิตร!J329"")"),0)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3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IFERROR(__xludf.DUMMYFUNCTION("IMPORTRANGE(""https://docs.google.com/spreadsheets/d/11923uPwbBZFjjGgGUA6NLw09EwE0CqkOc4q9oUmW1yo/edit?usp=sharing"",""พิจิตร!I330"")"),15)</f>
        <v>15</v>
      </c>
      <c r="J435" s="418">
        <f ca="1">IFERROR(__xludf.DUMMYFUNCTION("IMPORTRANGE(""https://docs.google.com/spreadsheets/d/11923uPwbBZFjjGgGUA6NLw09EwE0CqkOc4q9oUmW1yo/edit?usp=sharing"",""พิจิตร!J330"")"),15)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IFERROR(__xludf.DUMMYFUNCTION("IMPORTRANGE(""https://docs.google.com/spreadsheets/d/11923uPwbBZFjjGgGUA6NLw09EwE0CqkOc4q9oUmW1yo/edit?usp=sharing"",""พิจิตร!L330"")"),83000)</f>
        <v>83000</v>
      </c>
      <c r="M435" s="420"/>
      <c r="N435" s="420">
        <f ca="1">IFERROR(__xludf.DUMMYFUNCTION("IMPORTRANGE(""https://docs.google.com/spreadsheets/d/11923uPwbBZFjjGgGUA6NLw09EwE0CqkOc4q9oUmW1yo/edit?usp=sharing"",""พิจิตร!M330"")"),42986)</f>
        <v>42986</v>
      </c>
      <c r="O435" s="420">
        <f t="shared" ref="O435:O439" ca="1" si="114">+IF(L435&gt;0,N435*100/L435,0)</f>
        <v>51.790361445783134</v>
      </c>
      <c r="P435" s="420"/>
    </row>
    <row r="436" spans="1:16" ht="21.75" customHeight="1" x14ac:dyDescent="0.3">
      <c r="A436" s="164"/>
      <c r="B436" s="165"/>
      <c r="C436" s="165" t="s">
        <v>16</v>
      </c>
      <c r="D436" s="166" t="s">
        <v>38</v>
      </c>
      <c r="E436" s="167"/>
      <c r="F436" s="167"/>
      <c r="G436" s="168" t="s">
        <v>39</v>
      </c>
      <c r="H436" s="169" t="s">
        <v>12</v>
      </c>
      <c r="I436" s="170" t="s">
        <v>40</v>
      </c>
      <c r="J436" s="170"/>
      <c r="K436" s="171"/>
      <c r="L436" s="172">
        <f ca="1">IFERROR(__xludf.DUMMYFUNCTION("IMPORTRANGE(""https://docs.google.com/spreadsheets/d/11923uPwbBZFjjGgGUA6NLw09EwE0CqkOc4q9oUmW1yo/edit?usp=sharing"",""พิจิตร!L331"")"),0)</f>
        <v>0</v>
      </c>
      <c r="M436" s="172"/>
      <c r="N436" s="178">
        <f ca="1">IFERROR(__xludf.DUMMYFUNCTION("IMPORTRANGE(""https://docs.google.com/spreadsheets/d/11923uPwbBZFjjGgGUA6NLw09EwE0CqkOc4q9oUmW1yo/edit?usp=sharing"",""พิจิตร!M331"")"),0)</f>
        <v>0</v>
      </c>
      <c r="O436" s="178">
        <f t="shared" ca="1" si="114"/>
        <v>0</v>
      </c>
      <c r="P436" s="178"/>
    </row>
    <row r="437" spans="1:16" ht="21.75" customHeight="1" x14ac:dyDescent="0.3">
      <c r="A437" s="164"/>
      <c r="B437" s="165"/>
      <c r="C437" s="165"/>
      <c r="D437" s="174"/>
      <c r="E437" s="167"/>
      <c r="F437" s="167" t="s">
        <v>40</v>
      </c>
      <c r="G437" s="168" t="s">
        <v>41</v>
      </c>
      <c r="H437" s="169" t="s">
        <v>12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IFERROR(__xludf.DUMMYFUNCTION("IMPORTRANGE(""https://docs.google.com/spreadsheets/d/11923uPwbBZFjjGgGUA6NLw09EwE0CqkOc4q9oUmW1yo/edit?usp=sharing"",""พิจิตร!L332"")"),83000)</f>
        <v>83000</v>
      </c>
      <c r="M437" s="173"/>
      <c r="N437" s="178">
        <f ca="1">IFERROR(__xludf.DUMMYFUNCTION("IMPORTRANGE(""https://docs.google.com/spreadsheets/d/11923uPwbBZFjjGgGUA6NLw09EwE0CqkOc4q9oUmW1yo/edit?usp=sharing"",""พิจิตร!M332"")"),42986)</f>
        <v>42986</v>
      </c>
      <c r="O437" s="178">
        <f t="shared" ca="1" si="114"/>
        <v>51.790361445783134</v>
      </c>
      <c r="P437" s="178"/>
    </row>
    <row r="438" spans="1:16" ht="21.75" customHeight="1" x14ac:dyDescent="0.3">
      <c r="A438" s="164"/>
      <c r="B438" s="165"/>
      <c r="C438" s="165"/>
      <c r="D438" s="174"/>
      <c r="E438" s="167"/>
      <c r="F438" s="167"/>
      <c r="G438" s="382" t="s">
        <v>129</v>
      </c>
      <c r="H438" s="169" t="s">
        <v>12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IFERROR(__xludf.DUMMYFUNCTION("IMPORTRANGE(""https://docs.google.com/spreadsheets/d/11923uPwbBZFjjGgGUA6NLw09EwE0CqkOc4q9oUmW1yo/edit?usp=sharing"",""พิจิตร!L333"")"),0)</f>
        <v>0</v>
      </c>
      <c r="M438" s="178"/>
      <c r="N438" s="178">
        <f ca="1">IFERROR(__xludf.DUMMYFUNCTION("IMPORTRANGE(""https://docs.google.com/spreadsheets/d/11923uPwbBZFjjGgGUA6NLw09EwE0CqkOc4q9oUmW1yo/edit?usp=sharing"",""พิจิตร!M333"")"),0)</f>
        <v>0</v>
      </c>
      <c r="O438" s="178">
        <f t="shared" ca="1" si="114"/>
        <v>0</v>
      </c>
      <c r="P438" s="178"/>
    </row>
    <row r="439" spans="1:16" ht="21.75" customHeight="1" x14ac:dyDescent="0.3">
      <c r="A439" s="164"/>
      <c r="B439" s="165"/>
      <c r="C439" s="165"/>
      <c r="D439" s="174"/>
      <c r="E439" s="167"/>
      <c r="F439" s="167"/>
      <c r="G439" s="382" t="s">
        <v>130</v>
      </c>
      <c r="H439" s="169" t="s">
        <v>12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IFERROR(__xludf.DUMMYFUNCTION("IMPORTRANGE(""https://docs.google.com/spreadsheets/d/11923uPwbBZFjjGgGUA6NLw09EwE0CqkOc4q9oUmW1yo/edit?usp=sharing"",""พิจิตร!L334"")"),83000)</f>
        <v>83000</v>
      </c>
      <c r="M439" s="178"/>
      <c r="N439" s="178">
        <f ca="1">IFERROR(__xludf.DUMMYFUNCTION("IMPORTRANGE(""https://docs.google.com/spreadsheets/d/11923uPwbBZFjjGgGUA6NLw09EwE0CqkOc4q9oUmW1yo/edit?usp=sharing"",""พิจิตร!M334"")"),42986)</f>
        <v>42986</v>
      </c>
      <c r="O439" s="178">
        <f t="shared" ca="1" si="114"/>
        <v>51.790361445783134</v>
      </c>
      <c r="P439" s="178"/>
    </row>
    <row r="440" spans="1:16" ht="21.75" customHeight="1" x14ac:dyDescent="0.3">
      <c r="A440" s="383"/>
      <c r="B440" s="384"/>
      <c r="C440" s="165"/>
      <c r="D440" s="385"/>
      <c r="E440" s="167"/>
      <c r="F440" s="167"/>
      <c r="G440" s="386" t="s">
        <v>131</v>
      </c>
      <c r="H440" s="169" t="s">
        <v>12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IFERROR(__xludf.DUMMYFUNCTION("IMPORTRANGE(""https://docs.google.com/spreadsheets/d/11923uPwbBZFjjGgGUA6NLw09EwE0CqkOc4q9oUmW1yo/edit?usp=sharing"",""พิจิตร!M335"")"),32191)</f>
        <v>32191</v>
      </c>
      <c r="O440" s="178"/>
      <c r="P440" s="178"/>
    </row>
    <row r="441" spans="1:16" ht="21.75" customHeight="1" x14ac:dyDescent="0.3">
      <c r="A441" s="383"/>
      <c r="B441" s="384"/>
      <c r="C441" s="165"/>
      <c r="D441" s="385"/>
      <c r="E441" s="167"/>
      <c r="F441" s="167"/>
      <c r="G441" s="386" t="s">
        <v>132</v>
      </c>
      <c r="H441" s="169" t="s">
        <v>12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IFERROR(__xludf.DUMMYFUNCTION("IMPORTRANGE(""https://docs.google.com/spreadsheets/d/11923uPwbBZFjjGgGUA6NLw09EwE0CqkOc4q9oUmW1yo/edit?usp=sharing"",""พิจิตร!M336"")"),0)</f>
        <v>0</v>
      </c>
      <c r="O441" s="178"/>
      <c r="P441" s="178"/>
    </row>
    <row r="442" spans="1:16" ht="21.75" customHeight="1" x14ac:dyDescent="0.3">
      <c r="A442" s="383"/>
      <c r="B442" s="384"/>
      <c r="C442" s="165"/>
      <c r="D442" s="385"/>
      <c r="E442" s="167"/>
      <c r="F442" s="167"/>
      <c r="G442" s="386" t="s">
        <v>133</v>
      </c>
      <c r="H442" s="169" t="s">
        <v>12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IFERROR(__xludf.DUMMYFUNCTION("IMPORTRANGE(""https://docs.google.com/spreadsheets/d/11923uPwbBZFjjGgGUA6NLw09EwE0CqkOc4q9oUmW1yo/edit?usp=sharing"",""พิจิตร!M337"")"),0)</f>
        <v>0</v>
      </c>
      <c r="O442" s="178"/>
      <c r="P442" s="178"/>
    </row>
    <row r="443" spans="1:16" ht="21.75" customHeight="1" x14ac:dyDescent="0.3">
      <c r="A443" s="383"/>
      <c r="B443" s="384"/>
      <c r="C443" s="165"/>
      <c r="D443" s="385"/>
      <c r="E443" s="167"/>
      <c r="F443" s="167"/>
      <c r="G443" s="386" t="s">
        <v>134</v>
      </c>
      <c r="H443" s="169" t="s">
        <v>12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IFERROR(__xludf.DUMMYFUNCTION("IMPORTRANGE(""https://docs.google.com/spreadsheets/d/11923uPwbBZFjjGgGUA6NLw09EwE0CqkOc4q9oUmW1yo/edit?usp=sharing"",""พิจิตร!M338"")"),10795)</f>
        <v>10795</v>
      </c>
      <c r="O443" s="178"/>
      <c r="P443" s="178"/>
    </row>
    <row r="444" spans="1:16" ht="21.75" customHeight="1" x14ac:dyDescent="0.3">
      <c r="A444" s="185"/>
      <c r="B444" s="186"/>
      <c r="C444" s="165" t="s">
        <v>16</v>
      </c>
      <c r="D444" s="187" t="s">
        <v>44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3">
      <c r="A445" s="185"/>
      <c r="B445" s="186"/>
      <c r="C445" s="186"/>
      <c r="D445" s="192">
        <v>1</v>
      </c>
      <c r="E445" s="193" t="s">
        <v>45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IFERROR(__xludf.DUMMYFUNCTION("IMPORTRANGE(""https://docs.google.com/spreadsheets/d/11923uPwbBZFjjGgGUA6NLw09EwE0CqkOc4q9oUmW1yo/edit?usp=sharing"",""พิจิตร!J340"")"),0)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3">
      <c r="A446" s="185"/>
      <c r="B446" s="186"/>
      <c r="C446" s="186"/>
      <c r="D446" s="199">
        <v>2</v>
      </c>
      <c r="E446" s="200" t="s">
        <v>46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IFERROR(__xludf.DUMMYFUNCTION("IMPORTRANGE(""https://docs.google.com/spreadsheets/d/11923uPwbBZFjjGgGUA6NLw09EwE0CqkOc4q9oUmW1yo/edit?usp=sharing"",""พิจิตร!J341"")"),1)</f>
        <v>1</v>
      </c>
      <c r="K446" s="171"/>
      <c r="L446" s="191" t="s">
        <v>40</v>
      </c>
      <c r="M446" s="191"/>
      <c r="N446" s="191" t="s">
        <v>40</v>
      </c>
      <c r="O446" s="191"/>
      <c r="P446" s="191"/>
    </row>
    <row r="447" spans="1:16" ht="21.75" customHeight="1" x14ac:dyDescent="0.3">
      <c r="A447" s="185"/>
      <c r="B447" s="186"/>
      <c r="C447" s="186"/>
      <c r="D447" s="203"/>
      <c r="E447" s="204" t="s">
        <v>161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IFERROR(__xludf.DUMMYFUNCTION("IMPORTRANGE(""https://docs.google.com/spreadsheets/d/11923uPwbBZFjjGgGUA6NLw09EwE0CqkOc4q9oUmW1yo/edit?usp=sharing"",""พิจิตร!J342"")"),1)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3">
      <c r="A448" s="185"/>
      <c r="B448" s="186"/>
      <c r="C448" s="186"/>
      <c r="D448" s="203"/>
      <c r="E448" s="204" t="s">
        <v>48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IFERROR(__xludf.DUMMYFUNCTION("IMPORTRANGE(""https://docs.google.com/spreadsheets/d/11923uPwbBZFjjGgGUA6NLw09EwE0CqkOc4q9oUmW1yo/edit?usp=sharing"",""พิจิตร!J343"")"),1)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3">
      <c r="A449" s="185"/>
      <c r="B449" s="186"/>
      <c r="C449" s="186"/>
      <c r="D449" s="203"/>
      <c r="E449" s="208"/>
      <c r="F449" s="422" t="s">
        <v>101</v>
      </c>
      <c r="G449" s="206"/>
      <c r="H449" s="196" t="s">
        <v>37</v>
      </c>
      <c r="I449" s="399">
        <f ca="1">IFERROR(__xludf.DUMMYFUNCTION("IMPORTRANGE(""https://docs.google.com/spreadsheets/d/11923uPwbBZFjjGgGUA6NLw09EwE0CqkOc4q9oUmW1yo/edit?usp=sharing"",""พิจิตร!I344"")"),15)</f>
        <v>15</v>
      </c>
      <c r="J449" s="210">
        <f ca="1">IFERROR(__xludf.DUMMYFUNCTION("IMPORTRANGE(""https://docs.google.com/spreadsheets/d/11923uPwbBZFjjGgGUA6NLw09EwE0CqkOc4q9oUmW1yo/edit?usp=sharing"",""พิจิตร!J344"")"),15)</f>
        <v>15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3">
      <c r="A450" s="185"/>
      <c r="B450" s="186"/>
      <c r="C450" s="186"/>
      <c r="D450" s="203"/>
      <c r="E450" s="208"/>
      <c r="F450" s="205"/>
      <c r="G450" s="235" t="s">
        <v>162</v>
      </c>
      <c r="H450" s="196" t="s">
        <v>37</v>
      </c>
      <c r="I450" s="349">
        <f ca="1">IFERROR(__xludf.DUMMYFUNCTION("IMPORTRANGE(""https://docs.google.com/spreadsheets/d/11923uPwbBZFjjGgGUA6NLw09EwE0CqkOc4q9oUmW1yo/edit?usp=sharing"",""พิจิตร!I345"")"),15)</f>
        <v>15</v>
      </c>
      <c r="J450" s="198">
        <f ca="1">IFERROR(__xludf.DUMMYFUNCTION("IMPORTRANGE(""https://docs.google.com/spreadsheets/d/11923uPwbBZFjjGgGUA6NLw09EwE0CqkOc4q9oUmW1yo/edit?usp=sharing"",""พิจิตร!J345"")"),15)</f>
        <v>15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3">
      <c r="A451" s="185"/>
      <c r="B451" s="186"/>
      <c r="C451" s="186"/>
      <c r="D451" s="203"/>
      <c r="E451" s="208"/>
      <c r="F451" s="205"/>
      <c r="G451" s="289" t="s">
        <v>163</v>
      </c>
      <c r="H451" s="196" t="s">
        <v>37</v>
      </c>
      <c r="I451" s="349">
        <f ca="1">IFERROR(__xludf.DUMMYFUNCTION("IMPORTRANGE(""https://docs.google.com/spreadsheets/d/11923uPwbBZFjjGgGUA6NLw09EwE0CqkOc4q9oUmW1yo/edit?usp=sharing"",""พิจิตร!I346"")"),0)</f>
        <v>0</v>
      </c>
      <c r="J451" s="197">
        <f ca="1">IFERROR(__xludf.DUMMYFUNCTION("IMPORTRANGE(""https://docs.google.com/spreadsheets/d/11923uPwbBZFjjGgGUA6NLw09EwE0CqkOc4q9oUmW1yo/edit?usp=sharing"",""พิจิตร!J346"")"),0)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3">
      <c r="A452" s="185"/>
      <c r="B452" s="186"/>
      <c r="C452" s="186"/>
      <c r="D452" s="203"/>
      <c r="E452" s="208"/>
      <c r="F452" s="205"/>
      <c r="G452" s="206" t="s">
        <v>164</v>
      </c>
      <c r="H452" s="196" t="s">
        <v>37</v>
      </c>
      <c r="I452" s="197">
        <f ca="1">IFERROR(__xludf.DUMMYFUNCTION("IMPORTRANGE(""https://docs.google.com/spreadsheets/d/11923uPwbBZFjjGgGUA6NLw09EwE0CqkOc4q9oUmW1yo/edit?usp=sharing"",""พิจิตร!I347"")"),0)</f>
        <v>0</v>
      </c>
      <c r="J452" s="197">
        <f ca="1">IFERROR(__xludf.DUMMYFUNCTION("IMPORTRANGE(""https://docs.google.com/spreadsheets/d/11923uPwbBZFjjGgGUA6NLw09EwE0CqkOc4q9oUmW1yo/edit?usp=sharing"",""พิจิตร!J347"")"),0)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3">
      <c r="A453" s="185"/>
      <c r="B453" s="186"/>
      <c r="C453" s="186"/>
      <c r="D453" s="203"/>
      <c r="E453" s="204" t="s">
        <v>54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IFERROR(__xludf.DUMMYFUNCTION("IMPORTRANGE(""https://docs.google.com/spreadsheets/d/11923uPwbBZFjjGgGUA6NLw09EwE0CqkOc4q9oUmW1yo/edit?usp=sharing"",""พิจิตร!J348"")"),0)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3">
      <c r="A454" s="185"/>
      <c r="B454" s="186"/>
      <c r="C454" s="186"/>
      <c r="D454" s="215">
        <v>3</v>
      </c>
      <c r="E454" s="216" t="s">
        <v>55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IFERROR(__xludf.DUMMYFUNCTION("IMPORTRANGE(""https://docs.google.com/spreadsheets/d/11923uPwbBZFjjGgGUA6NLw09EwE0CqkOc4q9oUmW1yo/edit?usp=sharing"",""พิจิตร!J349"")"),0)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3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IFERROR(__xludf.DUMMYFUNCTION("IMPORTRANGE(""https://docs.google.com/spreadsheets/d/11923uPwbBZFjjGgGUA6NLw09EwE0CqkOc4q9oUmW1yo/edit?usp=sharing"",""พิจิตร!I350"")"),74168)</f>
        <v>74168</v>
      </c>
      <c r="J455" s="379">
        <f ca="1">IFERROR(__xludf.DUMMYFUNCTION("IMPORTRANGE(""https://docs.google.com/spreadsheets/d/11923uPwbBZFjjGgGUA6NLw09EwE0CqkOc4q9oUmW1yo/edit?usp=sharing"",""พิจิตร!J350"")"),0)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IFERROR(__xludf.DUMMYFUNCTION("IMPORTRANGE(""https://docs.google.com/spreadsheets/d/11923uPwbBZFjjGgGUA6NLw09EwE0CqkOc4q9oUmW1yo/edit?usp=sharing"",""พิจิตร!L350"")"),579537)</f>
        <v>579537</v>
      </c>
      <c r="M455" s="381"/>
      <c r="N455" s="381">
        <f ca="1">IFERROR(__xludf.DUMMYFUNCTION("IMPORTRANGE(""https://docs.google.com/spreadsheets/d/11923uPwbBZFjjGgGUA6NLw09EwE0CqkOc4q9oUmW1yo/edit?usp=sharing"",""พิจิตร!M350"")"),67716.8)</f>
        <v>67716.800000000003</v>
      </c>
      <c r="O455" s="381">
        <f t="shared" ref="O455:O459" ca="1" si="116">+IF(L455&gt;0,N455*100/L455,0)</f>
        <v>11.684637909227538</v>
      </c>
      <c r="P455" s="381"/>
    </row>
    <row r="456" spans="1:16" ht="21.75" customHeight="1" x14ac:dyDescent="0.3">
      <c r="A456" s="164"/>
      <c r="B456" s="165"/>
      <c r="C456" s="165" t="s">
        <v>16</v>
      </c>
      <c r="D456" s="166" t="s">
        <v>38</v>
      </c>
      <c r="E456" s="167"/>
      <c r="F456" s="167"/>
      <c r="G456" s="168" t="s">
        <v>39</v>
      </c>
      <c r="H456" s="169" t="s">
        <v>12</v>
      </c>
      <c r="I456" s="170" t="s">
        <v>40</v>
      </c>
      <c r="J456" s="170"/>
      <c r="K456" s="171"/>
      <c r="L456" s="172">
        <f ca="1">IFERROR(__xludf.DUMMYFUNCTION("IMPORTRANGE(""https://docs.google.com/spreadsheets/d/11923uPwbBZFjjGgGUA6NLw09EwE0CqkOc4q9oUmW1yo/edit?usp=sharing"",""พิจิตร!L351"")"),0)</f>
        <v>0</v>
      </c>
      <c r="M456" s="172"/>
      <c r="N456" s="178">
        <f ca="1">IFERROR(__xludf.DUMMYFUNCTION("IMPORTRANGE(""https://docs.google.com/spreadsheets/d/11923uPwbBZFjjGgGUA6NLw09EwE0CqkOc4q9oUmW1yo/edit?usp=sharing"",""พิจิตร!M351"")"),0)</f>
        <v>0</v>
      </c>
      <c r="O456" s="178">
        <f t="shared" ca="1" si="116"/>
        <v>0</v>
      </c>
      <c r="P456" s="178"/>
    </row>
    <row r="457" spans="1:16" ht="21.75" customHeight="1" x14ac:dyDescent="0.3">
      <c r="A457" s="164"/>
      <c r="B457" s="165"/>
      <c r="C457" s="165"/>
      <c r="D457" s="174"/>
      <c r="E457" s="167"/>
      <c r="F457" s="167" t="s">
        <v>40</v>
      </c>
      <c r="G457" s="168" t="s">
        <v>41</v>
      </c>
      <c r="H457" s="169" t="s">
        <v>12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IFERROR(__xludf.DUMMYFUNCTION("IMPORTRANGE(""https://docs.google.com/spreadsheets/d/11923uPwbBZFjjGgGUA6NLw09EwE0CqkOc4q9oUmW1yo/edit?usp=sharing"",""พิจิตร!L352"")"),579537)</f>
        <v>579537</v>
      </c>
      <c r="M457" s="173"/>
      <c r="N457" s="178">
        <f ca="1">IFERROR(__xludf.DUMMYFUNCTION("IMPORTRANGE(""https://docs.google.com/spreadsheets/d/11923uPwbBZFjjGgGUA6NLw09EwE0CqkOc4q9oUmW1yo/edit?usp=sharing"",""พิจิตร!M352"")"),67716.8)</f>
        <v>67716.800000000003</v>
      </c>
      <c r="O457" s="178">
        <f t="shared" ca="1" si="116"/>
        <v>11.684637909227538</v>
      </c>
      <c r="P457" s="178"/>
    </row>
    <row r="458" spans="1:16" ht="21.75" customHeight="1" x14ac:dyDescent="0.3">
      <c r="A458" s="164"/>
      <c r="B458" s="165"/>
      <c r="C458" s="165"/>
      <c r="D458" s="174"/>
      <c r="E458" s="167"/>
      <c r="F458" s="167"/>
      <c r="G458" s="382" t="s">
        <v>129</v>
      </c>
      <c r="H458" s="169" t="s">
        <v>12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IFERROR(__xludf.DUMMYFUNCTION("IMPORTRANGE(""https://docs.google.com/spreadsheets/d/11923uPwbBZFjjGgGUA6NLw09EwE0CqkOc4q9oUmW1yo/edit?usp=sharing"",""พิจิตร!L353"")"),0)</f>
        <v>0</v>
      </c>
      <c r="M458" s="178"/>
      <c r="N458" s="178">
        <f ca="1">IFERROR(__xludf.DUMMYFUNCTION("IMPORTRANGE(""https://docs.google.com/spreadsheets/d/11923uPwbBZFjjGgGUA6NLw09EwE0CqkOc4q9oUmW1yo/edit?usp=sharing"",""พิจิตร!M353"")"),0)</f>
        <v>0</v>
      </c>
      <c r="O458" s="178">
        <f t="shared" ca="1" si="116"/>
        <v>0</v>
      </c>
      <c r="P458" s="178"/>
    </row>
    <row r="459" spans="1:16" ht="21.75" customHeight="1" x14ac:dyDescent="0.3">
      <c r="A459" s="164"/>
      <c r="B459" s="165"/>
      <c r="C459" s="165"/>
      <c r="D459" s="174"/>
      <c r="E459" s="167"/>
      <c r="F459" s="167"/>
      <c r="G459" s="382" t="s">
        <v>130</v>
      </c>
      <c r="H459" s="169" t="s">
        <v>12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IFERROR(__xludf.DUMMYFUNCTION("IMPORTRANGE(""https://docs.google.com/spreadsheets/d/11923uPwbBZFjjGgGUA6NLw09EwE0CqkOc4q9oUmW1yo/edit?usp=sharing"",""พิจิตร!L354"")"),579537)</f>
        <v>579537</v>
      </c>
      <c r="M459" s="178"/>
      <c r="N459" s="178">
        <f ca="1">IFERROR(__xludf.DUMMYFUNCTION("IMPORTRANGE(""https://docs.google.com/spreadsheets/d/11923uPwbBZFjjGgGUA6NLw09EwE0CqkOc4q9oUmW1yo/edit?usp=sharing"",""พิจิตร!M354"")"),67716.8)</f>
        <v>67716.800000000003</v>
      </c>
      <c r="O459" s="178">
        <f t="shared" ca="1" si="116"/>
        <v>11.684637909227538</v>
      </c>
      <c r="P459" s="178"/>
    </row>
    <row r="460" spans="1:16" ht="21.75" customHeight="1" x14ac:dyDescent="0.3">
      <c r="A460" s="383"/>
      <c r="B460" s="384"/>
      <c r="C460" s="165"/>
      <c r="D460" s="385"/>
      <c r="E460" s="167"/>
      <c r="F460" s="167"/>
      <c r="G460" s="386" t="s">
        <v>131</v>
      </c>
      <c r="H460" s="169" t="s">
        <v>12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IFERROR(__xludf.DUMMYFUNCTION("IMPORTRANGE(""https://docs.google.com/spreadsheets/d/11923uPwbBZFjjGgGUA6NLw09EwE0CqkOc4q9oUmW1yo/edit?usp=sharing"",""พิจิตร!M355"")"),0)</f>
        <v>0</v>
      </c>
      <c r="O460" s="178"/>
      <c r="P460" s="178"/>
    </row>
    <row r="461" spans="1:16" ht="21.75" customHeight="1" x14ac:dyDescent="0.3">
      <c r="A461" s="383"/>
      <c r="B461" s="384"/>
      <c r="C461" s="165"/>
      <c r="D461" s="385"/>
      <c r="E461" s="167"/>
      <c r="F461" s="167"/>
      <c r="G461" s="386" t="s">
        <v>132</v>
      </c>
      <c r="H461" s="169" t="s">
        <v>12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IFERROR(__xludf.DUMMYFUNCTION("IMPORTRANGE(""https://docs.google.com/spreadsheets/d/11923uPwbBZFjjGgGUA6NLw09EwE0CqkOc4q9oUmW1yo/edit?usp=sharing"",""พิจิตร!M356"")"),0)</f>
        <v>0</v>
      </c>
      <c r="O461" s="178"/>
      <c r="P461" s="178"/>
    </row>
    <row r="462" spans="1:16" ht="21.75" customHeight="1" x14ac:dyDescent="0.3">
      <c r="A462" s="383"/>
      <c r="B462" s="384"/>
      <c r="C462" s="165"/>
      <c r="D462" s="385"/>
      <c r="E462" s="167"/>
      <c r="F462" s="167"/>
      <c r="G462" s="386" t="s">
        <v>133</v>
      </c>
      <c r="H462" s="169" t="s">
        <v>12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IFERROR(__xludf.DUMMYFUNCTION("IMPORTRANGE(""https://docs.google.com/spreadsheets/d/11923uPwbBZFjjGgGUA6NLw09EwE0CqkOc4q9oUmW1yo/edit?usp=sharing"",""พิจิตร!M357"")"),29096.8)</f>
        <v>29096.799999999999</v>
      </c>
      <c r="O462" s="178"/>
      <c r="P462" s="178"/>
    </row>
    <row r="463" spans="1:16" ht="21.75" customHeight="1" x14ac:dyDescent="0.3">
      <c r="A463" s="383"/>
      <c r="B463" s="384"/>
      <c r="C463" s="165"/>
      <c r="D463" s="385"/>
      <c r="E463" s="167"/>
      <c r="F463" s="167"/>
      <c r="G463" s="386" t="s">
        <v>134</v>
      </c>
      <c r="H463" s="169" t="s">
        <v>12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IFERROR(__xludf.DUMMYFUNCTION("IMPORTRANGE(""https://docs.google.com/spreadsheets/d/11923uPwbBZFjjGgGUA6NLw09EwE0CqkOc4q9oUmW1yo/edit?usp=sharing"",""พิจิตร!M358"")"),38620)</f>
        <v>38620</v>
      </c>
      <c r="O463" s="178"/>
      <c r="P463" s="178"/>
    </row>
    <row r="464" spans="1:16" ht="21.75" customHeight="1" x14ac:dyDescent="0.3">
      <c r="A464" s="185"/>
      <c r="B464" s="186"/>
      <c r="C464" s="423" t="s">
        <v>166</v>
      </c>
      <c r="D464" s="423"/>
      <c r="E464" s="424"/>
      <c r="F464" s="424"/>
      <c r="G464" s="425"/>
      <c r="H464" s="275" t="s">
        <v>122</v>
      </c>
      <c r="I464" s="276">
        <f ca="1">IFERROR(__xludf.DUMMYFUNCTION("IMPORTRANGE(""https://docs.google.com/spreadsheets/d/11923uPwbBZFjjGgGUA6NLw09EwE0CqkOc4q9oUmW1yo/edit?usp=sharing"",""พิจิตร!I359"")"),74168)</f>
        <v>74168</v>
      </c>
      <c r="J464" s="276">
        <f ca="1">IFERROR(__xludf.DUMMYFUNCTION("IMPORTRANGE(""https://docs.google.com/spreadsheets/d/11923uPwbBZFjjGgGUA6NLw09EwE0CqkOc4q9oUmW1yo/edit?usp=sharing"",""พิจิตร!J359"")"),0)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3">
      <c r="A465" s="410"/>
      <c r="B465" s="411"/>
      <c r="C465" s="411"/>
      <c r="D465" s="412"/>
      <c r="E465" s="203" t="s">
        <v>167</v>
      </c>
      <c r="F465" s="205"/>
      <c r="G465" s="206"/>
      <c r="H465" s="426" t="s">
        <v>122</v>
      </c>
      <c r="I465" s="427">
        <f ca="1">IFERROR(__xludf.DUMMYFUNCTION("IMPORTRANGE(""https://docs.google.com/spreadsheets/d/11923uPwbBZFjjGgGUA6NLw09EwE0CqkOc4q9oUmW1yo/edit?usp=sharing"",""พิจิตร!I360"")"),74168)</f>
        <v>74168</v>
      </c>
      <c r="J465" s="428">
        <f ca="1">IFERROR(__xludf.DUMMYFUNCTION("IMPORTRANGE(""https://docs.google.com/spreadsheets/d/11923uPwbBZFjjGgGUA6NLw09EwE0CqkOc4q9oUmW1yo/edit?usp=sharing"",""พิจิตร!J360"")"),0)</f>
        <v>0</v>
      </c>
      <c r="K465" s="211">
        <f t="shared" ca="1" si="117"/>
        <v>0</v>
      </c>
      <c r="L465" s="191"/>
      <c r="M465" s="191"/>
      <c r="N465" s="191"/>
      <c r="O465" s="191"/>
      <c r="P465" s="191"/>
    </row>
    <row r="466" spans="1:16" ht="21.75" customHeight="1" x14ac:dyDescent="0.3">
      <c r="A466" s="410"/>
      <c r="B466" s="411"/>
      <c r="C466" s="411"/>
      <c r="D466" s="412"/>
      <c r="E466" s="205"/>
      <c r="F466" s="205"/>
      <c r="G466" s="206"/>
      <c r="H466" s="426" t="s">
        <v>36</v>
      </c>
      <c r="I466" s="427">
        <f ca="1">IFERROR(__xludf.DUMMYFUNCTION("IMPORTRANGE(""https://docs.google.com/spreadsheets/d/11923uPwbBZFjjGgGUA6NLw09EwE0CqkOc4q9oUmW1yo/edit?usp=sharing"",""พิจิตร!I361"")"),7854)</f>
        <v>7854</v>
      </c>
      <c r="J466" s="428">
        <f ca="1">IFERROR(__xludf.DUMMYFUNCTION("IMPORTRANGE(""https://docs.google.com/spreadsheets/d/11923uPwbBZFjjGgGUA6NLw09EwE0CqkOc4q9oUmW1yo/edit?usp=sharing"",""พิจิตร!J361"")"),0)</f>
        <v>0</v>
      </c>
      <c r="K466" s="211">
        <f t="shared" ca="1" si="117"/>
        <v>0</v>
      </c>
      <c r="L466" s="191"/>
      <c r="M466" s="191"/>
      <c r="N466" s="191"/>
      <c r="O466" s="191"/>
      <c r="P466" s="191"/>
    </row>
    <row r="467" spans="1:16" ht="21.75" customHeight="1" x14ac:dyDescent="0.3">
      <c r="A467" s="410"/>
      <c r="B467" s="411"/>
      <c r="C467" s="411"/>
      <c r="D467" s="412"/>
      <c r="E467" s="205"/>
      <c r="F467" s="398" t="s">
        <v>168</v>
      </c>
      <c r="G467" s="429"/>
      <c r="H467" s="430" t="s">
        <v>122</v>
      </c>
      <c r="I467" s="212">
        <f ca="1">IFERROR(__xludf.DUMMYFUNCTION("IMPORTRANGE(""https://docs.google.com/spreadsheets/d/11923uPwbBZFjjGgGUA6NLw09EwE0CqkOc4q9oUmW1yo/edit?usp=sharing"",""พิจิตร!I362"")"),0)</f>
        <v>0</v>
      </c>
      <c r="J467" s="198">
        <f ca="1">IFERROR(__xludf.DUMMYFUNCTION("IMPORTRANGE(""https://docs.google.com/spreadsheets/d/11923uPwbBZFjjGgGUA6NLw09EwE0CqkOc4q9oUmW1yo/edit?usp=sharing"",""พิจิตร!J362"")"),0)</f>
        <v>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3">
      <c r="A468" s="410"/>
      <c r="B468" s="411"/>
      <c r="C468" s="411"/>
      <c r="D468" s="412"/>
      <c r="E468" s="205"/>
      <c r="F468" s="205"/>
      <c r="G468" s="429"/>
      <c r="H468" s="430" t="s">
        <v>36</v>
      </c>
      <c r="I468" s="212">
        <f ca="1">IFERROR(__xludf.DUMMYFUNCTION("IMPORTRANGE(""https://docs.google.com/spreadsheets/d/11923uPwbBZFjjGgGUA6NLw09EwE0CqkOc4q9oUmW1yo/edit?usp=sharing"",""พิจิตร!I363"")"),0)</f>
        <v>0</v>
      </c>
      <c r="J468" s="198">
        <f ca="1">IFERROR(__xludf.DUMMYFUNCTION("IMPORTRANGE(""https://docs.google.com/spreadsheets/d/11923uPwbBZFjjGgGUA6NLw09EwE0CqkOc4q9oUmW1yo/edit?usp=sharing"",""พิจิตร!J363"")"),0)</f>
        <v>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3">
      <c r="A469" s="410"/>
      <c r="B469" s="411"/>
      <c r="C469" s="411"/>
      <c r="D469" s="412"/>
      <c r="E469" s="205"/>
      <c r="F469" s="398" t="s">
        <v>169</v>
      </c>
      <c r="G469" s="429"/>
      <c r="H469" s="430" t="s">
        <v>122</v>
      </c>
      <c r="I469" s="212">
        <f ca="1">IFERROR(__xludf.DUMMYFUNCTION("IMPORTRANGE(""https://docs.google.com/spreadsheets/d/11923uPwbBZFjjGgGUA6NLw09EwE0CqkOc4q9oUmW1yo/edit?usp=sharing"",""พิจิตร!I364"")"),0)</f>
        <v>0</v>
      </c>
      <c r="J469" s="198">
        <f ca="1">IFERROR(__xludf.DUMMYFUNCTION("IMPORTRANGE(""https://docs.google.com/spreadsheets/d/11923uPwbBZFjjGgGUA6NLw09EwE0CqkOc4q9oUmW1yo/edit?usp=sharing"",""พิจิตร!J364"")"),0)</f>
        <v>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3">
      <c r="A470" s="410"/>
      <c r="B470" s="411"/>
      <c r="C470" s="411"/>
      <c r="D470" s="412"/>
      <c r="E470" s="205"/>
      <c r="F470" s="205"/>
      <c r="G470" s="429"/>
      <c r="H470" s="430" t="s">
        <v>36</v>
      </c>
      <c r="I470" s="212">
        <f ca="1">IFERROR(__xludf.DUMMYFUNCTION("IMPORTRANGE(""https://docs.google.com/spreadsheets/d/11923uPwbBZFjjGgGUA6NLw09EwE0CqkOc4q9oUmW1yo/edit?usp=sharing"",""พิจิตร!I365"")"),0)</f>
        <v>0</v>
      </c>
      <c r="J470" s="198">
        <f ca="1">IFERROR(__xludf.DUMMYFUNCTION("IMPORTRANGE(""https://docs.google.com/spreadsheets/d/11923uPwbBZFjjGgGUA6NLw09EwE0CqkOc4q9oUmW1yo/edit?usp=sharing"",""พิจิตร!J365"")"),0)</f>
        <v>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3">
      <c r="A471" s="410"/>
      <c r="B471" s="411"/>
      <c r="C471" s="411"/>
      <c r="D471" s="412"/>
      <c r="E471" s="205"/>
      <c r="F471" s="398" t="s">
        <v>170</v>
      </c>
      <c r="G471" s="429"/>
      <c r="H471" s="430" t="s">
        <v>122</v>
      </c>
      <c r="I471" s="212">
        <f ca="1">IFERROR(__xludf.DUMMYFUNCTION("IMPORTRANGE(""https://docs.google.com/spreadsheets/d/11923uPwbBZFjjGgGUA6NLw09EwE0CqkOc4q9oUmW1yo/edit?usp=sharing"",""พิจิตร!I366"")"),0)</f>
        <v>0</v>
      </c>
      <c r="J471" s="198">
        <f ca="1">IFERROR(__xludf.DUMMYFUNCTION("IMPORTRANGE(""https://docs.google.com/spreadsheets/d/11923uPwbBZFjjGgGUA6NLw09EwE0CqkOc4q9oUmW1yo/edit?usp=sharing"",""พิจิตร!J366"")"),0)</f>
        <v>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3">
      <c r="A472" s="410"/>
      <c r="B472" s="411"/>
      <c r="C472" s="411"/>
      <c r="D472" s="412"/>
      <c r="E472" s="205"/>
      <c r="F472" s="205"/>
      <c r="G472" s="205"/>
      <c r="H472" s="430" t="s">
        <v>36</v>
      </c>
      <c r="I472" s="212">
        <f ca="1">IFERROR(__xludf.DUMMYFUNCTION("IMPORTRANGE(""https://docs.google.com/spreadsheets/d/11923uPwbBZFjjGgGUA6NLw09EwE0CqkOc4q9oUmW1yo/edit?usp=sharing"",""พิจิตร!I367"")"),0)</f>
        <v>0</v>
      </c>
      <c r="J472" s="198">
        <f ca="1">IFERROR(__xludf.DUMMYFUNCTION("IMPORTRANGE(""https://docs.google.com/spreadsheets/d/11923uPwbBZFjjGgGUA6NLw09EwE0CqkOc4q9oUmW1yo/edit?usp=sharing"",""พิจิตร!J367"")"),0)</f>
        <v>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3">
      <c r="A473" s="410"/>
      <c r="B473" s="411"/>
      <c r="C473" s="411"/>
      <c r="D473" s="412"/>
      <c r="E473" s="299" t="s">
        <v>171</v>
      </c>
      <c r="F473" s="205"/>
      <c r="G473" s="206"/>
      <c r="H473" s="426" t="s">
        <v>122</v>
      </c>
      <c r="I473" s="428">
        <f ca="1">IFERROR(__xludf.DUMMYFUNCTION("IMPORTRANGE(""https://docs.google.com/spreadsheets/d/11923uPwbBZFjjGgGUA6NLw09EwE0CqkOc4q9oUmW1yo/edit?usp=sharing"",""พิจิตร!I368"")"),74168)</f>
        <v>74168</v>
      </c>
      <c r="J473" s="428">
        <f ca="1">IFERROR(__xludf.DUMMYFUNCTION("IMPORTRANGE(""https://docs.google.com/spreadsheets/d/11923uPwbBZFjjGgGUA6NLw09EwE0CqkOc4q9oUmW1yo/edit?usp=sharing"",""พิจิตร!J368"")"),0)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3">
      <c r="A474" s="410"/>
      <c r="B474" s="411"/>
      <c r="C474" s="411"/>
      <c r="D474" s="412"/>
      <c r="E474" s="205"/>
      <c r="F474" s="205"/>
      <c r="G474" s="206"/>
      <c r="H474" s="426" t="s">
        <v>36</v>
      </c>
      <c r="I474" s="427">
        <f ca="1">IFERROR(__xludf.DUMMYFUNCTION("IMPORTRANGE(""https://docs.google.com/spreadsheets/d/11923uPwbBZFjjGgGUA6NLw09EwE0CqkOc4q9oUmW1yo/edit?usp=sharing"",""พิจิตร!I369"")"),7854)</f>
        <v>7854</v>
      </c>
      <c r="J474" s="428">
        <f ca="1">IFERROR(__xludf.DUMMYFUNCTION("IMPORTRANGE(""https://docs.google.com/spreadsheets/d/11923uPwbBZFjjGgGUA6NLw09EwE0CqkOc4q9oUmW1yo/edit?usp=sharing"",""พิจิตร!J369"")"),0)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3">
      <c r="A475" s="410"/>
      <c r="B475" s="411"/>
      <c r="C475" s="411"/>
      <c r="D475" s="412"/>
      <c r="E475" s="205"/>
      <c r="F475" s="204" t="s">
        <v>172</v>
      </c>
      <c r="G475" s="429"/>
      <c r="H475" s="430" t="s">
        <v>122</v>
      </c>
      <c r="I475" s="212">
        <f ca="1">IFERROR(__xludf.DUMMYFUNCTION("IMPORTRANGE(""https://docs.google.com/spreadsheets/d/11923uPwbBZFjjGgGUA6NLw09EwE0CqkOc4q9oUmW1yo/edit?usp=sharing"",""พิจิตร!I370"")"),0)</f>
        <v>0</v>
      </c>
      <c r="J475" s="198">
        <f ca="1">IFERROR(__xludf.DUMMYFUNCTION("IMPORTRANGE(""https://docs.google.com/spreadsheets/d/11923uPwbBZFjjGgGUA6NLw09EwE0CqkOc4q9oUmW1yo/edit?usp=sharing"",""พิจิตร!J370"")"),0)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3">
      <c r="A476" s="410"/>
      <c r="B476" s="411"/>
      <c r="C476" s="411"/>
      <c r="D476" s="412"/>
      <c r="E476" s="205"/>
      <c r="F476" s="205"/>
      <c r="G476" s="429"/>
      <c r="H476" s="430" t="s">
        <v>36</v>
      </c>
      <c r="I476" s="212">
        <f ca="1">IFERROR(__xludf.DUMMYFUNCTION("IMPORTRANGE(""https://docs.google.com/spreadsheets/d/11923uPwbBZFjjGgGUA6NLw09EwE0CqkOc4q9oUmW1yo/edit?usp=sharing"",""พิจิตร!I371"")"),0)</f>
        <v>0</v>
      </c>
      <c r="J476" s="198">
        <f ca="1">IFERROR(__xludf.DUMMYFUNCTION("IMPORTRANGE(""https://docs.google.com/spreadsheets/d/11923uPwbBZFjjGgGUA6NLw09EwE0CqkOc4q9oUmW1yo/edit?usp=sharing"",""พิจิตร!J371"")"),0)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3">
      <c r="A477" s="410"/>
      <c r="B477" s="411"/>
      <c r="C477" s="411"/>
      <c r="D477" s="412"/>
      <c r="E477" s="205"/>
      <c r="F477" s="204" t="s">
        <v>173</v>
      </c>
      <c r="G477" s="429"/>
      <c r="H477" s="430" t="s">
        <v>122</v>
      </c>
      <c r="I477" s="212">
        <f ca="1">IFERROR(__xludf.DUMMYFUNCTION("IMPORTRANGE(""https://docs.google.com/spreadsheets/d/11923uPwbBZFjjGgGUA6NLw09EwE0CqkOc4q9oUmW1yo/edit?usp=sharing"",""พิจิตร!I372"")"),0)</f>
        <v>0</v>
      </c>
      <c r="J477" s="198">
        <f ca="1">IFERROR(__xludf.DUMMYFUNCTION("IMPORTRANGE(""https://docs.google.com/spreadsheets/d/11923uPwbBZFjjGgGUA6NLw09EwE0CqkOc4q9oUmW1yo/edit?usp=sharing"",""พิจิตร!J372"")"),0)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3">
      <c r="A478" s="410"/>
      <c r="B478" s="411"/>
      <c r="C478" s="411"/>
      <c r="D478" s="412"/>
      <c r="E478" s="205"/>
      <c r="F478" s="205"/>
      <c r="G478" s="429"/>
      <c r="H478" s="430" t="s">
        <v>36</v>
      </c>
      <c r="I478" s="212">
        <f ca="1">IFERROR(__xludf.DUMMYFUNCTION("IMPORTRANGE(""https://docs.google.com/spreadsheets/d/11923uPwbBZFjjGgGUA6NLw09EwE0CqkOc4q9oUmW1yo/edit?usp=sharing"",""พิจิตร!I373"")"),0)</f>
        <v>0</v>
      </c>
      <c r="J478" s="198">
        <f ca="1">IFERROR(__xludf.DUMMYFUNCTION("IMPORTRANGE(""https://docs.google.com/spreadsheets/d/11923uPwbBZFjjGgGUA6NLw09EwE0CqkOc4q9oUmW1yo/edit?usp=sharing"",""พิจิตร!J373"")"),0)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3">
      <c r="A479" s="410"/>
      <c r="B479" s="411"/>
      <c r="C479" s="411"/>
      <c r="D479" s="412"/>
      <c r="E479" s="205"/>
      <c r="F479" s="204" t="s">
        <v>174</v>
      </c>
      <c r="G479" s="429"/>
      <c r="H479" s="430" t="s">
        <v>122</v>
      </c>
      <c r="I479" s="212">
        <f ca="1">IFERROR(__xludf.DUMMYFUNCTION("IMPORTRANGE(""https://docs.google.com/spreadsheets/d/11923uPwbBZFjjGgGUA6NLw09EwE0CqkOc4q9oUmW1yo/edit?usp=sharing"",""พิจิตร!I374"")"),0)</f>
        <v>0</v>
      </c>
      <c r="J479" s="198">
        <f ca="1">IFERROR(__xludf.DUMMYFUNCTION("IMPORTRANGE(""https://docs.google.com/spreadsheets/d/11923uPwbBZFjjGgGUA6NLw09EwE0CqkOc4q9oUmW1yo/edit?usp=sharing"",""พิจิตร!J374"")"),0)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3">
      <c r="A480" s="410"/>
      <c r="B480" s="411"/>
      <c r="C480" s="411"/>
      <c r="D480" s="412"/>
      <c r="E480" s="205"/>
      <c r="F480" s="205"/>
      <c r="G480" s="206"/>
      <c r="H480" s="430" t="s">
        <v>36</v>
      </c>
      <c r="I480" s="212">
        <f ca="1">IFERROR(__xludf.DUMMYFUNCTION("IMPORTRANGE(""https://docs.google.com/spreadsheets/d/11923uPwbBZFjjGgGUA6NLw09EwE0CqkOc4q9oUmW1yo/edit?usp=sharing"",""พิจิตร!I375"")"),0)</f>
        <v>0</v>
      </c>
      <c r="J480" s="198">
        <f ca="1">IFERROR(__xludf.DUMMYFUNCTION("IMPORTRANGE(""https://docs.google.com/spreadsheets/d/11923uPwbBZFjjGgGUA6NLw09EwE0CqkOc4q9oUmW1yo/edit?usp=sharing"",""พิจิตร!J375"")"),0)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3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IFERROR(__xludf.DUMMYFUNCTION("IMPORTRANGE(""https://docs.google.com/spreadsheets/d/11923uPwbBZFjjGgGUA6NLw09EwE0CqkOc4q9oUmW1yo/edit?usp=sharing"",""พิจิตร!I376"")"),74168)</f>
        <v>74168</v>
      </c>
      <c r="J481" s="428">
        <f ca="1">IFERROR(__xludf.DUMMYFUNCTION("IMPORTRANGE(""https://docs.google.com/spreadsheets/d/11923uPwbBZFjjGgGUA6NLw09EwE0CqkOc4q9oUmW1yo/edit?usp=sharing"",""พิจิตร!J376"")"),0)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3">
      <c r="A482" s="410"/>
      <c r="B482" s="411"/>
      <c r="C482" s="411"/>
      <c r="D482" s="412"/>
      <c r="E482" s="205"/>
      <c r="F482" s="205"/>
      <c r="G482" s="206"/>
      <c r="H482" s="426" t="s">
        <v>36</v>
      </c>
      <c r="I482" s="427">
        <f ca="1">IFERROR(__xludf.DUMMYFUNCTION("IMPORTRANGE(""https://docs.google.com/spreadsheets/d/11923uPwbBZFjjGgGUA6NLw09EwE0CqkOc4q9oUmW1yo/edit?usp=sharing"",""พิจิตร!I377"")"),7854)</f>
        <v>7854</v>
      </c>
      <c r="J482" s="428">
        <f ca="1">IFERROR(__xludf.DUMMYFUNCTION("IMPORTRANGE(""https://docs.google.com/spreadsheets/d/11923uPwbBZFjjGgGUA6NLw09EwE0CqkOc4q9oUmW1yo/edit?usp=sharing"",""พิจิตร!J377"")"),0)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3">
      <c r="A483" s="410"/>
      <c r="B483" s="411"/>
      <c r="C483" s="411"/>
      <c r="D483" s="412"/>
      <c r="E483" s="205"/>
      <c r="F483" s="204" t="s">
        <v>176</v>
      </c>
      <c r="G483" s="429"/>
      <c r="H483" s="430" t="s">
        <v>122</v>
      </c>
      <c r="I483" s="212">
        <f ca="1">IFERROR(__xludf.DUMMYFUNCTION("IMPORTRANGE(""https://docs.google.com/spreadsheets/d/11923uPwbBZFjjGgGUA6NLw09EwE0CqkOc4q9oUmW1yo/edit?usp=sharing"",""พิจิตร!I378"")"),0)</f>
        <v>0</v>
      </c>
      <c r="J483" s="198">
        <f ca="1">IFERROR(__xludf.DUMMYFUNCTION("IMPORTRANGE(""https://docs.google.com/spreadsheets/d/11923uPwbBZFjjGgGUA6NLw09EwE0CqkOc4q9oUmW1yo/edit?usp=sharing"",""พิจิตร!J378"")"),0)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3">
      <c r="A484" s="410"/>
      <c r="B484" s="411"/>
      <c r="C484" s="411"/>
      <c r="D484" s="412"/>
      <c r="E484" s="205"/>
      <c r="F484" s="205"/>
      <c r="G484" s="429"/>
      <c r="H484" s="430" t="s">
        <v>36</v>
      </c>
      <c r="I484" s="212">
        <f ca="1">IFERROR(__xludf.DUMMYFUNCTION("IMPORTRANGE(""https://docs.google.com/spreadsheets/d/11923uPwbBZFjjGgGUA6NLw09EwE0CqkOc4q9oUmW1yo/edit?usp=sharing"",""พิจิตร!I379"")"),0)</f>
        <v>0</v>
      </c>
      <c r="J484" s="198">
        <f ca="1">IFERROR(__xludf.DUMMYFUNCTION("IMPORTRANGE(""https://docs.google.com/spreadsheets/d/11923uPwbBZFjjGgGUA6NLw09EwE0CqkOc4q9oUmW1yo/edit?usp=sharing"",""พิจิตร!J379"")"),0)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3">
      <c r="A485" s="410"/>
      <c r="B485" s="411"/>
      <c r="C485" s="411"/>
      <c r="D485" s="412"/>
      <c r="E485" s="205"/>
      <c r="F485" s="204" t="s">
        <v>177</v>
      </c>
      <c r="G485" s="429"/>
      <c r="H485" s="430" t="s">
        <v>122</v>
      </c>
      <c r="I485" s="212">
        <f ca="1">IFERROR(__xludf.DUMMYFUNCTION("IMPORTRANGE(""https://docs.google.com/spreadsheets/d/11923uPwbBZFjjGgGUA6NLw09EwE0CqkOc4q9oUmW1yo/edit?usp=sharing"",""พิจิตร!I380"")"),0)</f>
        <v>0</v>
      </c>
      <c r="J485" s="198">
        <f ca="1">IFERROR(__xludf.DUMMYFUNCTION("IMPORTRANGE(""https://docs.google.com/spreadsheets/d/11923uPwbBZFjjGgGUA6NLw09EwE0CqkOc4q9oUmW1yo/edit?usp=sharing"",""พิจิตร!J380"")"),0)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3">
      <c r="A486" s="410"/>
      <c r="B486" s="411"/>
      <c r="C486" s="411"/>
      <c r="D486" s="412"/>
      <c r="E486" s="205"/>
      <c r="F486" s="205"/>
      <c r="G486" s="429"/>
      <c r="H486" s="430" t="s">
        <v>36</v>
      </c>
      <c r="I486" s="212">
        <f ca="1">IFERROR(__xludf.DUMMYFUNCTION("IMPORTRANGE(""https://docs.google.com/spreadsheets/d/11923uPwbBZFjjGgGUA6NLw09EwE0CqkOc4q9oUmW1yo/edit?usp=sharing"",""พิจิตร!I381"")"),0)</f>
        <v>0</v>
      </c>
      <c r="J486" s="198">
        <f ca="1">IFERROR(__xludf.DUMMYFUNCTION("IMPORTRANGE(""https://docs.google.com/spreadsheets/d/11923uPwbBZFjjGgGUA6NLw09EwE0CqkOc4q9oUmW1yo/edit?usp=sharing"",""พิจิตร!J381"")"),0)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3">
      <c r="A487" s="410"/>
      <c r="B487" s="411"/>
      <c r="C487" s="411"/>
      <c r="D487" s="412"/>
      <c r="E487" s="205"/>
      <c r="F487" s="204" t="s">
        <v>178</v>
      </c>
      <c r="G487" s="429"/>
      <c r="H487" s="430" t="s">
        <v>122</v>
      </c>
      <c r="I487" s="212">
        <f ca="1">IFERROR(__xludf.DUMMYFUNCTION("IMPORTRANGE(""https://docs.google.com/spreadsheets/d/11923uPwbBZFjjGgGUA6NLw09EwE0CqkOc4q9oUmW1yo/edit?usp=sharing"",""พิจิตร!I382"")"),0)</f>
        <v>0</v>
      </c>
      <c r="J487" s="428">
        <f ca="1">IFERROR(__xludf.DUMMYFUNCTION("IMPORTRANGE(""https://docs.google.com/spreadsheets/d/11923uPwbBZFjjGgGUA6NLw09EwE0CqkOc4q9oUmW1yo/edit?usp=sharing"",""พิจิตร!J382"")"),0)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3">
      <c r="A488" s="410"/>
      <c r="B488" s="411"/>
      <c r="C488" s="411"/>
      <c r="D488" s="412"/>
      <c r="E488" s="205"/>
      <c r="F488" s="205"/>
      <c r="G488" s="205"/>
      <c r="H488" s="430" t="s">
        <v>36</v>
      </c>
      <c r="I488" s="212">
        <f ca="1">IFERROR(__xludf.DUMMYFUNCTION("IMPORTRANGE(""https://docs.google.com/spreadsheets/d/11923uPwbBZFjjGgGUA6NLw09EwE0CqkOc4q9oUmW1yo/edit?usp=sharing"",""พิจิตร!I383"")"),0)</f>
        <v>0</v>
      </c>
      <c r="J488" s="428">
        <f ca="1">IFERROR(__xludf.DUMMYFUNCTION("IMPORTRANGE(""https://docs.google.com/spreadsheets/d/11923uPwbBZFjjGgGUA6NLw09EwE0CqkOc4q9oUmW1yo/edit?usp=sharing"",""พิจิตร!J383"")"),0)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3">
      <c r="A489" s="410"/>
      <c r="B489" s="411"/>
      <c r="C489" s="411"/>
      <c r="D489" s="412"/>
      <c r="E489" s="205"/>
      <c r="F489" s="205"/>
      <c r="G489" s="204" t="s">
        <v>179</v>
      </c>
      <c r="H489" s="430" t="s">
        <v>122</v>
      </c>
      <c r="I489" s="212">
        <f ca="1">IFERROR(__xludf.DUMMYFUNCTION("IMPORTRANGE(""https://docs.google.com/spreadsheets/d/11923uPwbBZFjjGgGUA6NLw09EwE0CqkOc4q9oUmW1yo/edit?usp=sharing"",""พิจิตร!I384"")"),0)</f>
        <v>0</v>
      </c>
      <c r="J489" s="198">
        <f ca="1">IFERROR(__xludf.DUMMYFUNCTION("IMPORTRANGE(""https://docs.google.com/spreadsheets/d/11923uPwbBZFjjGgGUA6NLw09EwE0CqkOc4q9oUmW1yo/edit?usp=sharing"",""พิจิตร!J384"")"),0)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3">
      <c r="A490" s="410"/>
      <c r="B490" s="411"/>
      <c r="C490" s="411"/>
      <c r="D490" s="412"/>
      <c r="E490" s="205"/>
      <c r="F490" s="205"/>
      <c r="G490" s="205"/>
      <c r="H490" s="430" t="s">
        <v>36</v>
      </c>
      <c r="I490" s="212">
        <f ca="1">IFERROR(__xludf.DUMMYFUNCTION("IMPORTRANGE(""https://docs.google.com/spreadsheets/d/11923uPwbBZFjjGgGUA6NLw09EwE0CqkOc4q9oUmW1yo/edit?usp=sharing"",""พิจิตร!I385"")"),0)</f>
        <v>0</v>
      </c>
      <c r="J490" s="198">
        <f ca="1">IFERROR(__xludf.DUMMYFUNCTION("IMPORTRANGE(""https://docs.google.com/spreadsheets/d/11923uPwbBZFjjGgGUA6NLw09EwE0CqkOc4q9oUmW1yo/edit?usp=sharing"",""พิจิตร!J385"")"),0)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3">
      <c r="A491" s="410"/>
      <c r="B491" s="411"/>
      <c r="C491" s="411"/>
      <c r="D491" s="412"/>
      <c r="E491" s="205"/>
      <c r="F491" s="205"/>
      <c r="G491" s="204" t="s">
        <v>180</v>
      </c>
      <c r="H491" s="430" t="s">
        <v>122</v>
      </c>
      <c r="I491" s="212">
        <f ca="1">IFERROR(__xludf.DUMMYFUNCTION("IMPORTRANGE(""https://docs.google.com/spreadsheets/d/11923uPwbBZFjjGgGUA6NLw09EwE0CqkOc4q9oUmW1yo/edit?usp=sharing"",""พิจิตร!I386"")"),0)</f>
        <v>0</v>
      </c>
      <c r="J491" s="198">
        <f ca="1">IFERROR(__xludf.DUMMYFUNCTION("IMPORTRANGE(""https://docs.google.com/spreadsheets/d/11923uPwbBZFjjGgGUA6NLw09EwE0CqkOc4q9oUmW1yo/edit?usp=sharing"",""พิจิตร!J386"")"),0)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3">
      <c r="A492" s="410"/>
      <c r="B492" s="411"/>
      <c r="C492" s="411"/>
      <c r="D492" s="412"/>
      <c r="E492" s="205"/>
      <c r="F492" s="205"/>
      <c r="G492" s="206"/>
      <c r="H492" s="430" t="s">
        <v>36</v>
      </c>
      <c r="I492" s="212">
        <f ca="1">IFERROR(__xludf.DUMMYFUNCTION("IMPORTRANGE(""https://docs.google.com/spreadsheets/d/11923uPwbBZFjjGgGUA6NLw09EwE0CqkOc4q9oUmW1yo/edit?usp=sharing"",""พิจิตร!I387"")"),0)</f>
        <v>0</v>
      </c>
      <c r="J492" s="198">
        <f ca="1">IFERROR(__xludf.DUMMYFUNCTION("IMPORTRANGE(""https://docs.google.com/spreadsheets/d/11923uPwbBZFjjGgGUA6NLw09EwE0CqkOc4q9oUmW1yo/edit?usp=sharing"",""พิจิตร!J387"")"),0)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3">
      <c r="A493" s="410"/>
      <c r="B493" s="411"/>
      <c r="C493" s="411"/>
      <c r="D493" s="412"/>
      <c r="E493" s="205"/>
      <c r="F493" s="204" t="s">
        <v>181</v>
      </c>
      <c r="G493" s="429"/>
      <c r="H493" s="430" t="s">
        <v>122</v>
      </c>
      <c r="I493" s="212">
        <f ca="1">IFERROR(__xludf.DUMMYFUNCTION("IMPORTRANGE(""https://docs.google.com/spreadsheets/d/11923uPwbBZFjjGgGUA6NLw09EwE0CqkOc4q9oUmW1yo/edit?usp=sharing"",""พิจิตร!I388"")"),0)</f>
        <v>0</v>
      </c>
      <c r="J493" s="198">
        <f ca="1">IFERROR(__xludf.DUMMYFUNCTION("IMPORTRANGE(""https://docs.google.com/spreadsheets/d/11923uPwbBZFjjGgGUA6NLw09EwE0CqkOc4q9oUmW1yo/edit?usp=sharing"",""พิจิตร!J388"")"),0)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3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IFERROR(__xludf.DUMMYFUNCTION("IMPORTRANGE(""https://docs.google.com/spreadsheets/d/11923uPwbBZFjjGgGUA6NLw09EwE0CqkOc4q9oUmW1yo/edit?usp=sharing"",""พิจิตร!I389"")"),0)</f>
        <v>0</v>
      </c>
      <c r="J494" s="444">
        <f ca="1">IFERROR(__xludf.DUMMYFUNCTION("IMPORTRANGE(""https://docs.google.com/spreadsheets/d/11923uPwbBZFjjGgGUA6NLw09EwE0CqkOc4q9oUmW1yo/edit?usp=sharing"",""พิจิตร!J389"")"),0)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3">
      <c r="A495" s="410"/>
      <c r="B495" s="411"/>
      <c r="C495" s="411"/>
      <c r="D495" s="412"/>
      <c r="E495" s="205"/>
      <c r="F495" s="205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IFERROR(__xludf.DUMMYFUNCTION("IMPORTRANGE(""https://docs.google.com/spreadsheets/d/11923uPwbBZFjjGgGUA6NLw09EwE0CqkOc4q9oUmW1yo/edit?usp=sharing"",""พิจิตร!I390"")"),0)</f>
        <v>0</v>
      </c>
      <c r="J495" s="444">
        <f ca="1">IFERROR(__xludf.DUMMYFUNCTION("IMPORTRANGE(""https://docs.google.com/spreadsheets/d/11923uPwbBZFjjGgGUA6NLw09EwE0CqkOc4q9oUmW1yo/edit?usp=sharing"",""พิจิตร!J390"")"),0)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3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IFERROR(__xludf.DUMMYFUNCTION("IMPORTRANGE(""https://docs.google.com/spreadsheets/d/11923uPwbBZFjjGgGUA6NLw09EwE0CqkOc4q9oUmW1yo/edit?usp=sharing"",""พิจิตร!I391"")"),0)</f>
        <v>0</v>
      </c>
      <c r="J496" s="444">
        <f ca="1">IFERROR(__xludf.DUMMYFUNCTION("IMPORTRANGE(""https://docs.google.com/spreadsheets/d/11923uPwbBZFjjGgGUA6NLw09EwE0CqkOc4q9oUmW1yo/edit?usp=sharing"",""พิจิตร!J391"")"),0)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3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IFERROR(__xludf.DUMMYFUNCTION("IMPORTRANGE(""https://docs.google.com/spreadsheets/d/11923uPwbBZFjjGgGUA6NLw09EwE0CqkOc4q9oUmW1yo/edit?usp=sharing"",""พิจิตร!I392"")"),1363)</f>
        <v>1363</v>
      </c>
      <c r="J497" s="451">
        <f ca="1">IFERROR(__xludf.DUMMYFUNCTION("IMPORTRANGE(""https://docs.google.com/spreadsheets/d/11923uPwbBZFjjGgGUA6NLw09EwE0CqkOc4q9oUmW1yo/edit?usp=sharing"",""พิจิตร!J392"")"),0)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3">
      <c r="A498" s="185"/>
      <c r="B498" s="186"/>
      <c r="C498" s="186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IFERROR(__xludf.DUMMYFUNCTION("IMPORTRANGE(""https://docs.google.com/spreadsheets/d/11923uPwbBZFjjGgGUA6NLw09EwE0CqkOc4q9oUmW1yo/edit?usp=sharing"",""พิจิตร!I393"")"),1363)</f>
        <v>1363</v>
      </c>
      <c r="J498" s="428">
        <f ca="1">IFERROR(__xludf.DUMMYFUNCTION("IMPORTRANGE(""https://docs.google.com/spreadsheets/d/11923uPwbBZFjjGgGUA6NLw09EwE0CqkOc4q9oUmW1yo/edit?usp=sharing"",""พิจิตร!J393"")"),0)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3">
      <c r="A499" s="185"/>
      <c r="B499" s="186"/>
      <c r="C499" s="186"/>
      <c r="D499" s="203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IFERROR(__xludf.DUMMYFUNCTION("IMPORTRANGE(""https://docs.google.com/spreadsheets/d/11923uPwbBZFjjGgGUA6NLw09EwE0CqkOc4q9oUmW1yo/edit?usp=sharing"",""พิจิตร!I394"")"),69)</f>
        <v>69</v>
      </c>
      <c r="J499" s="428">
        <f ca="1">IFERROR(__xludf.DUMMYFUNCTION("IMPORTRANGE(""https://docs.google.com/spreadsheets/d/11923uPwbBZFjjGgGUA6NLw09EwE0CqkOc4q9oUmW1yo/edit?usp=sharing"",""พิจิตร!J394"")"),0)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3">
      <c r="A500" s="185"/>
      <c r="B500" s="186"/>
      <c r="C500" s="186"/>
      <c r="D500" s="412"/>
      <c r="E500" s="412" t="s">
        <v>185</v>
      </c>
      <c r="F500" s="205"/>
      <c r="G500" s="206"/>
      <c r="H500" s="430" t="s">
        <v>122</v>
      </c>
      <c r="I500" s="212">
        <f ca="1">IFERROR(__xludf.DUMMYFUNCTION("IMPORTRANGE(""https://docs.google.com/spreadsheets/d/11923uPwbBZFjjGgGUA6NLw09EwE0CqkOc4q9oUmW1yo/edit?usp=sharing"",""พิจิตร!I395"")"),0)</f>
        <v>0</v>
      </c>
      <c r="J500" s="170">
        <f ca="1">IFERROR(__xludf.DUMMYFUNCTION("IMPORTRANGE(""https://docs.google.com/spreadsheets/d/11923uPwbBZFjjGgGUA6NLw09EwE0CqkOc4q9oUmW1yo/edit?usp=sharing"",""พิจิตร!J395"")"),0)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3">
      <c r="A501" s="185"/>
      <c r="B501" s="186"/>
      <c r="C501" s="186"/>
      <c r="D501" s="203"/>
      <c r="E501" s="205"/>
      <c r="F501" s="205"/>
      <c r="G501" s="206"/>
      <c r="H501" s="430" t="s">
        <v>36</v>
      </c>
      <c r="I501" s="212">
        <f ca="1">IFERROR(__xludf.DUMMYFUNCTION("IMPORTRANGE(""https://docs.google.com/spreadsheets/d/11923uPwbBZFjjGgGUA6NLw09EwE0CqkOc4q9oUmW1yo/edit?usp=sharing"",""พิจิตร!I396"")"),0)</f>
        <v>0</v>
      </c>
      <c r="J501" s="170">
        <f ca="1">IFERROR(__xludf.DUMMYFUNCTION("IMPORTRANGE(""https://docs.google.com/spreadsheets/d/11923uPwbBZFjjGgGUA6NLw09EwE0CqkOc4q9oUmW1yo/edit?usp=sharing"",""พิจิตร!J396"")"),0)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3">
      <c r="A502" s="185"/>
      <c r="B502" s="186"/>
      <c r="C502" s="186"/>
      <c r="D502" s="203"/>
      <c r="E502" s="205"/>
      <c r="F502" s="407" t="s">
        <v>186</v>
      </c>
      <c r="G502" s="429"/>
      <c r="H502" s="430" t="s">
        <v>122</v>
      </c>
      <c r="I502" s="212">
        <f ca="1">IFERROR(__xludf.DUMMYFUNCTION("IMPORTRANGE(""https://docs.google.com/spreadsheets/d/11923uPwbBZFjjGgGUA6NLw09EwE0CqkOc4q9oUmW1yo/edit?usp=sharing"",""พิจิตร!I397"")"),0)</f>
        <v>0</v>
      </c>
      <c r="J502" s="198">
        <f ca="1">IFERROR(__xludf.DUMMYFUNCTION("IMPORTRANGE(""https://docs.google.com/spreadsheets/d/11923uPwbBZFjjGgGUA6NLw09EwE0CqkOc4q9oUmW1yo/edit?usp=sharing"",""พิจิตร!J397"")"),0)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3">
      <c r="A503" s="185"/>
      <c r="B503" s="186"/>
      <c r="C503" s="186"/>
      <c r="D503" s="203"/>
      <c r="E503" s="205"/>
      <c r="F503" s="205"/>
      <c r="G503" s="429"/>
      <c r="H503" s="430" t="s">
        <v>36</v>
      </c>
      <c r="I503" s="197">
        <f ca="1">IFERROR(__xludf.DUMMYFUNCTION("IMPORTRANGE(""https://docs.google.com/spreadsheets/d/11923uPwbBZFjjGgGUA6NLw09EwE0CqkOc4q9oUmW1yo/edit?usp=sharing"",""พิจิตร!I398"")"),0)</f>
        <v>0</v>
      </c>
      <c r="J503" s="207">
        <f ca="1">IFERROR(__xludf.DUMMYFUNCTION("IMPORTRANGE(""https://docs.google.com/spreadsheets/d/11923uPwbBZFjjGgGUA6NLw09EwE0CqkOc4q9oUmW1yo/edit?usp=sharing"",""พิจิตร!J398"")"),0)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3">
      <c r="A504" s="185"/>
      <c r="B504" s="186"/>
      <c r="C504" s="186"/>
      <c r="D504" s="203"/>
      <c r="E504" s="205"/>
      <c r="F504" s="398" t="s">
        <v>187</v>
      </c>
      <c r="G504" s="429"/>
      <c r="H504" s="430" t="s">
        <v>122</v>
      </c>
      <c r="I504" s="213">
        <f ca="1">IFERROR(__xludf.DUMMYFUNCTION("IMPORTRANGE(""https://docs.google.com/spreadsheets/d/11923uPwbBZFjjGgGUA6NLw09EwE0CqkOc4q9oUmW1yo/edit?usp=sharing"",""พิจิตร!I399"")"),0)</f>
        <v>0</v>
      </c>
      <c r="J504" s="198">
        <f ca="1">IFERROR(__xludf.DUMMYFUNCTION("IMPORTRANGE(""https://docs.google.com/spreadsheets/d/11923uPwbBZFjjGgGUA6NLw09EwE0CqkOc4q9oUmW1yo/edit?usp=sharing"",""พิจิตร!J399"")"),0)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3">
      <c r="A505" s="185"/>
      <c r="B505" s="186"/>
      <c r="C505" s="186"/>
      <c r="D505" s="203"/>
      <c r="E505" s="205"/>
      <c r="F505" s="205"/>
      <c r="G505" s="429"/>
      <c r="H505" s="430" t="s">
        <v>36</v>
      </c>
      <c r="I505" s="197">
        <f ca="1">IFERROR(__xludf.DUMMYFUNCTION("IMPORTRANGE(""https://docs.google.com/spreadsheets/d/11923uPwbBZFjjGgGUA6NLw09EwE0CqkOc4q9oUmW1yo/edit?usp=sharing"",""พิจิตร!I400"")"),0)</f>
        <v>0</v>
      </c>
      <c r="J505" s="207">
        <f ca="1">IFERROR(__xludf.DUMMYFUNCTION("IMPORTRANGE(""https://docs.google.com/spreadsheets/d/11923uPwbBZFjjGgGUA6NLw09EwE0CqkOc4q9oUmW1yo/edit?usp=sharing"",""พิจิตร!J400"")"),0)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3">
      <c r="A506" s="185"/>
      <c r="B506" s="186"/>
      <c r="C506" s="186"/>
      <c r="D506" s="203"/>
      <c r="E506" s="205"/>
      <c r="F506" s="407" t="s">
        <v>188</v>
      </c>
      <c r="G506" s="429"/>
      <c r="H506" s="430" t="s">
        <v>122</v>
      </c>
      <c r="I506" s="213">
        <f ca="1">IFERROR(__xludf.DUMMYFUNCTION("IMPORTRANGE(""https://docs.google.com/spreadsheets/d/11923uPwbBZFjjGgGUA6NLw09EwE0CqkOc4q9oUmW1yo/edit?usp=sharing"",""พิจิตร!I401"")"),0)</f>
        <v>0</v>
      </c>
      <c r="J506" s="198">
        <f ca="1">IFERROR(__xludf.DUMMYFUNCTION("IMPORTRANGE(""https://docs.google.com/spreadsheets/d/11923uPwbBZFjjGgGUA6NLw09EwE0CqkOc4q9oUmW1yo/edit?usp=sharing"",""พิจิตร!J401"")"),0)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3">
      <c r="A507" s="185"/>
      <c r="B507" s="186"/>
      <c r="C507" s="186"/>
      <c r="D507" s="203"/>
      <c r="E507" s="205"/>
      <c r="F507" s="205"/>
      <c r="G507" s="205"/>
      <c r="H507" s="430" t="s">
        <v>36</v>
      </c>
      <c r="I507" s="197">
        <f ca="1">IFERROR(__xludf.DUMMYFUNCTION("IMPORTRANGE(""https://docs.google.com/spreadsheets/d/11923uPwbBZFjjGgGUA6NLw09EwE0CqkOc4q9oUmW1yo/edit?usp=sharing"",""พิจิตร!I402"")"),0)</f>
        <v>0</v>
      </c>
      <c r="J507" s="207">
        <f ca="1">IFERROR(__xludf.DUMMYFUNCTION("IMPORTRANGE(""https://docs.google.com/spreadsheets/d/11923uPwbBZFjjGgGUA6NLw09EwE0CqkOc4q9oUmW1yo/edit?usp=sharing"",""พิจิตร!J402"")"),0)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3">
      <c r="A508" s="185"/>
      <c r="B508" s="186"/>
      <c r="C508" s="186"/>
      <c r="D508" s="203"/>
      <c r="E508" s="204" t="s">
        <v>189</v>
      </c>
      <c r="F508" s="205"/>
      <c r="G508" s="429"/>
      <c r="H508" s="430" t="s">
        <v>122</v>
      </c>
      <c r="I508" s="197">
        <f ca="1">IFERROR(__xludf.DUMMYFUNCTION("IMPORTRANGE(""https://docs.google.com/spreadsheets/d/11923uPwbBZFjjGgGUA6NLw09EwE0CqkOc4q9oUmW1yo/edit?usp=sharing"",""พิจิตร!I403"")"),0)</f>
        <v>0</v>
      </c>
      <c r="J508" s="170">
        <f ca="1">IFERROR(__xludf.DUMMYFUNCTION("IMPORTRANGE(""https://docs.google.com/spreadsheets/d/11923uPwbBZFjjGgGUA6NLw09EwE0CqkOc4q9oUmW1yo/edit?usp=sharing"",""พิจิตร!J403"")"),0)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3">
      <c r="A509" s="185"/>
      <c r="B509" s="186"/>
      <c r="C509" s="186"/>
      <c r="D509" s="203"/>
      <c r="E509" s="205"/>
      <c r="F509" s="205"/>
      <c r="G509" s="205"/>
      <c r="H509" s="430" t="s">
        <v>36</v>
      </c>
      <c r="I509" s="197">
        <f ca="1">IFERROR(__xludf.DUMMYFUNCTION("IMPORTRANGE(""https://docs.google.com/spreadsheets/d/11923uPwbBZFjjGgGUA6NLw09EwE0CqkOc4q9oUmW1yo/edit?usp=sharing"",""พิจิตร!I404"")"),0)</f>
        <v>0</v>
      </c>
      <c r="J509" s="170">
        <f ca="1">IFERROR(__xludf.DUMMYFUNCTION("IMPORTRANGE(""https://docs.google.com/spreadsheets/d/11923uPwbBZFjjGgGUA6NLw09EwE0CqkOc4q9oUmW1yo/edit?usp=sharing"",""พิจิตร!J404"")"),0)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3">
      <c r="A510" s="185"/>
      <c r="B510" s="186"/>
      <c r="C510" s="186"/>
      <c r="D510" s="203"/>
      <c r="E510" s="205"/>
      <c r="F510" s="204" t="s">
        <v>190</v>
      </c>
      <c r="G510" s="205"/>
      <c r="H510" s="430" t="s">
        <v>122</v>
      </c>
      <c r="I510" s="197">
        <f ca="1">IFERROR(__xludf.DUMMYFUNCTION("IMPORTRANGE(""https://docs.google.com/spreadsheets/d/11923uPwbBZFjjGgGUA6NLw09EwE0CqkOc4q9oUmW1yo/edit?usp=sharing"",""พิจิตร!I405"")"),0)</f>
        <v>0</v>
      </c>
      <c r="J510" s="207">
        <f ca="1">IFERROR(__xludf.DUMMYFUNCTION("IMPORTRANGE(""https://docs.google.com/spreadsheets/d/11923uPwbBZFjjGgGUA6NLw09EwE0CqkOc4q9oUmW1yo/edit?usp=sharing"",""พิจิตร!J405"")"),0)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3">
      <c r="A511" s="185"/>
      <c r="B511" s="186"/>
      <c r="C511" s="186"/>
      <c r="D511" s="203"/>
      <c r="E511" s="205"/>
      <c r="F511" s="205"/>
      <c r="G511" s="205"/>
      <c r="H511" s="430" t="s">
        <v>36</v>
      </c>
      <c r="I511" s="197">
        <f ca="1">IFERROR(__xludf.DUMMYFUNCTION("IMPORTRANGE(""https://docs.google.com/spreadsheets/d/11923uPwbBZFjjGgGUA6NLw09EwE0CqkOc4q9oUmW1yo/edit?usp=sharing"",""พิจิตร!I406"")"),0)</f>
        <v>0</v>
      </c>
      <c r="J511" s="207">
        <f ca="1">IFERROR(__xludf.DUMMYFUNCTION("IMPORTRANGE(""https://docs.google.com/spreadsheets/d/11923uPwbBZFjjGgGUA6NLw09EwE0CqkOc4q9oUmW1yo/edit?usp=sharing"",""พิจิตร!J406"")"),0)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3">
      <c r="A512" s="185"/>
      <c r="B512" s="186"/>
      <c r="C512" s="186"/>
      <c r="D512" s="203"/>
      <c r="E512" s="205"/>
      <c r="F512" s="204" t="s">
        <v>191</v>
      </c>
      <c r="G512" s="205"/>
      <c r="H512" s="430" t="s">
        <v>122</v>
      </c>
      <c r="I512" s="197">
        <f ca="1">IFERROR(__xludf.DUMMYFUNCTION("IMPORTRANGE(""https://docs.google.com/spreadsheets/d/11923uPwbBZFjjGgGUA6NLw09EwE0CqkOc4q9oUmW1yo/edit?usp=sharing"",""พิจิตร!I407"")"),0)</f>
        <v>0</v>
      </c>
      <c r="J512" s="207">
        <f ca="1">IFERROR(__xludf.DUMMYFUNCTION("IMPORTRANGE(""https://docs.google.com/spreadsheets/d/11923uPwbBZFjjGgGUA6NLw09EwE0CqkOc4q9oUmW1yo/edit?usp=sharing"",""พิจิตร!J407"")"),0)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3">
      <c r="A513" s="185"/>
      <c r="B513" s="186"/>
      <c r="C513" s="186"/>
      <c r="D513" s="203"/>
      <c r="E513" s="205"/>
      <c r="F513" s="205"/>
      <c r="G513" s="206"/>
      <c r="H513" s="430" t="s">
        <v>36</v>
      </c>
      <c r="I513" s="197">
        <f ca="1">IFERROR(__xludf.DUMMYFUNCTION("IMPORTRANGE(""https://docs.google.com/spreadsheets/d/11923uPwbBZFjjGgGUA6NLw09EwE0CqkOc4q9oUmW1yo/edit?usp=sharing"",""พิจิตร!I408"")"),0)</f>
        <v>0</v>
      </c>
      <c r="J513" s="207">
        <f ca="1">IFERROR(__xludf.DUMMYFUNCTION("IMPORTRANGE(""https://docs.google.com/spreadsheets/d/11923uPwbBZFjjGgGUA6NLw09EwE0CqkOc4q9oUmW1yo/edit?usp=sharing"",""พิจิตร!J408"")"),0)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3">
      <c r="A514" s="185"/>
      <c r="B514" s="186"/>
      <c r="C514" s="186"/>
      <c r="D514" s="412"/>
      <c r="E514" s="458" t="s">
        <v>192</v>
      </c>
      <c r="F514" s="205"/>
      <c r="G514" s="206"/>
      <c r="H514" s="430" t="s">
        <v>122</v>
      </c>
      <c r="I514" s="197">
        <f ca="1">IFERROR(__xludf.DUMMYFUNCTION("IMPORTRANGE(""https://docs.google.com/spreadsheets/d/11923uPwbBZFjjGgGUA6NLw09EwE0CqkOc4q9oUmW1yo/edit?usp=sharing"",""พิจิตร!I409"")"),0)</f>
        <v>0</v>
      </c>
      <c r="J514" s="207">
        <f ca="1">IFERROR(__xludf.DUMMYFUNCTION("IMPORTRANGE(""https://docs.google.com/spreadsheets/d/11923uPwbBZFjjGgGUA6NLw09EwE0CqkOc4q9oUmW1yo/edit?usp=sharing"",""พิจิตร!J409"")"),0)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3">
      <c r="A515" s="185"/>
      <c r="B515" s="186"/>
      <c r="C515" s="186"/>
      <c r="D515" s="203"/>
      <c r="E515" s="205"/>
      <c r="F515" s="205"/>
      <c r="G515" s="206"/>
      <c r="H515" s="430" t="s">
        <v>36</v>
      </c>
      <c r="I515" s="197">
        <f ca="1">IFERROR(__xludf.DUMMYFUNCTION("IMPORTRANGE(""https://docs.google.com/spreadsheets/d/11923uPwbBZFjjGgGUA6NLw09EwE0CqkOc4q9oUmW1yo/edit?usp=sharing"",""พิจิตร!I410"")"),0)</f>
        <v>0</v>
      </c>
      <c r="J515" s="207">
        <f ca="1">IFERROR(__xludf.DUMMYFUNCTION("IMPORTRANGE(""https://docs.google.com/spreadsheets/d/11923uPwbBZFjjGgGUA6NLw09EwE0CqkOc4q9oUmW1yo/edit?usp=sharing"",""พิจิตร!J410"")"),0)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3">
      <c r="A516" s="185"/>
      <c r="B516" s="186"/>
      <c r="C516" s="423" t="s">
        <v>193</v>
      </c>
      <c r="D516" s="423"/>
      <c r="E516" s="459"/>
      <c r="F516" s="459"/>
      <c r="G516" s="460"/>
      <c r="H516" s="461" t="s">
        <v>122</v>
      </c>
      <c r="I516" s="276">
        <f ca="1">IFERROR(__xludf.DUMMYFUNCTION("IMPORTRANGE(""https://docs.google.com/spreadsheets/d/11923uPwbBZFjjGgGUA6NLw09EwE0CqkOc4q9oUmW1yo/edit?usp=sharing"",""พิจิตร!I411"")"),0)</f>
        <v>0</v>
      </c>
      <c r="J516" s="276">
        <f ca="1">IFERROR(__xludf.DUMMYFUNCTION("IMPORTRANGE(""https://docs.google.com/spreadsheets/d/11923uPwbBZFjjGgGUA6NLw09EwE0CqkOc4q9oUmW1yo/edit?usp=sharing"",""พิจิตร!J411"")"),0)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3">
      <c r="A517" s="185"/>
      <c r="B517" s="186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IFERROR(__xludf.DUMMYFUNCTION("IMPORTRANGE(""https://docs.google.com/spreadsheets/d/11923uPwbBZFjjGgGUA6NLw09EwE0CqkOc4q9oUmW1yo/edit?usp=sharing"",""พิจิตร!I412"")"),0)</f>
        <v>0</v>
      </c>
      <c r="J517" s="292">
        <f ca="1">IFERROR(__xludf.DUMMYFUNCTION("IMPORTRANGE(""https://docs.google.com/spreadsheets/d/11923uPwbBZFjjGgGUA6NLw09EwE0CqkOc4q9oUmW1yo/edit?usp=sharing"",""พิจิตร!J412"")"),0)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3">
      <c r="A518" s="185"/>
      <c r="B518" s="186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IFERROR(__xludf.DUMMYFUNCTION("IMPORTRANGE(""https://docs.google.com/spreadsheets/d/11923uPwbBZFjjGgGUA6NLw09EwE0CqkOc4q9oUmW1yo/edit?usp=sharing"",""พิจิตร!I413"")"),0)</f>
        <v>0</v>
      </c>
      <c r="J518" s="292">
        <f ca="1">IFERROR(__xludf.DUMMYFUNCTION("IMPORTRANGE(""https://docs.google.com/spreadsheets/d/11923uPwbBZFjjGgGUA6NLw09EwE0CqkOc4q9oUmW1yo/edit?usp=sharing"",""พิจิตร!J413"")"),0)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3">
      <c r="A519" s="185"/>
      <c r="B519" s="186"/>
      <c r="C519" s="186"/>
      <c r="D519" s="203"/>
      <c r="E519" s="205"/>
      <c r="F519" s="205"/>
      <c r="G519" s="235" t="s">
        <v>196</v>
      </c>
      <c r="H519" s="430" t="s">
        <v>122</v>
      </c>
      <c r="I519" s="197">
        <f ca="1">IFERROR(__xludf.DUMMYFUNCTION("IMPORTRANGE(""https://docs.google.com/spreadsheets/d/11923uPwbBZFjjGgGUA6NLw09EwE0CqkOc4q9oUmW1yo/edit?usp=sharing"",""พิจิตร!I414"")"),0)</f>
        <v>0</v>
      </c>
      <c r="J519" s="197">
        <f ca="1">IFERROR(__xludf.DUMMYFUNCTION("IMPORTRANGE(""https://docs.google.com/spreadsheets/d/11923uPwbBZFjjGgGUA6NLw09EwE0CqkOc4q9oUmW1yo/edit?usp=sharing"",""พิจิตร!J414"")"),0)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3">
      <c r="A520" s="185"/>
      <c r="B520" s="186"/>
      <c r="C520" s="186"/>
      <c r="D520" s="203"/>
      <c r="E520" s="205"/>
      <c r="F520" s="205"/>
      <c r="G520" s="206"/>
      <c r="H520" s="430" t="s">
        <v>36</v>
      </c>
      <c r="I520" s="197">
        <f ca="1">IFERROR(__xludf.DUMMYFUNCTION("IMPORTRANGE(""https://docs.google.com/spreadsheets/d/11923uPwbBZFjjGgGUA6NLw09EwE0CqkOc4q9oUmW1yo/edit?usp=sharing"",""พิจิตร!I415"")"),0)</f>
        <v>0</v>
      </c>
      <c r="J520" s="197">
        <f ca="1">IFERROR(__xludf.DUMMYFUNCTION("IMPORTRANGE(""https://docs.google.com/spreadsheets/d/11923uPwbBZFjjGgGUA6NLw09EwE0CqkOc4q9oUmW1yo/edit?usp=sharing"",""พิจิตร!J415"")"),0)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3">
      <c r="A521" s="185"/>
      <c r="B521" s="186"/>
      <c r="C521" s="186"/>
      <c r="D521" s="203"/>
      <c r="E521" s="205"/>
      <c r="F521" s="205"/>
      <c r="G521" s="235" t="s">
        <v>197</v>
      </c>
      <c r="H521" s="430" t="s">
        <v>122</v>
      </c>
      <c r="I521" s="197">
        <f ca="1">IFERROR(__xludf.DUMMYFUNCTION("IMPORTRANGE(""https://docs.google.com/spreadsheets/d/11923uPwbBZFjjGgGUA6NLw09EwE0CqkOc4q9oUmW1yo/edit?usp=sharing"",""พิจิตร!I416"")"),0)</f>
        <v>0</v>
      </c>
      <c r="J521" s="197">
        <f ca="1">IFERROR(__xludf.DUMMYFUNCTION("IMPORTRANGE(""https://docs.google.com/spreadsheets/d/11923uPwbBZFjjGgGUA6NLw09EwE0CqkOc4q9oUmW1yo/edit?usp=sharing"",""พิจิตร!J416"")"),0)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3">
      <c r="A522" s="185"/>
      <c r="B522" s="186"/>
      <c r="C522" s="186"/>
      <c r="D522" s="203"/>
      <c r="E522" s="205"/>
      <c r="F522" s="205"/>
      <c r="G522" s="206"/>
      <c r="H522" s="430" t="s">
        <v>36</v>
      </c>
      <c r="I522" s="197">
        <f ca="1">IFERROR(__xludf.DUMMYFUNCTION("IMPORTRANGE(""https://docs.google.com/spreadsheets/d/11923uPwbBZFjjGgGUA6NLw09EwE0CqkOc4q9oUmW1yo/edit?usp=sharing"",""พิจิตร!I417"")"),0)</f>
        <v>0</v>
      </c>
      <c r="J522" s="197">
        <f ca="1">IFERROR(__xludf.DUMMYFUNCTION("IMPORTRANGE(""https://docs.google.com/spreadsheets/d/11923uPwbBZFjjGgGUA6NLw09EwE0CqkOc4q9oUmW1yo/edit?usp=sharing"",""พิจิตร!J417"")"),0)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3">
      <c r="A523" s="185"/>
      <c r="B523" s="186"/>
      <c r="C523" s="186"/>
      <c r="D523" s="203"/>
      <c r="E523" s="205"/>
      <c r="F523" s="205"/>
      <c r="G523" s="466" t="s">
        <v>198</v>
      </c>
      <c r="H523" s="430" t="s">
        <v>122</v>
      </c>
      <c r="I523" s="197">
        <f ca="1">IFERROR(__xludf.DUMMYFUNCTION("IMPORTRANGE(""https://docs.google.com/spreadsheets/d/11923uPwbBZFjjGgGUA6NLw09EwE0CqkOc4q9oUmW1yo/edit?usp=sharing"",""พิจิตร!I418"")"),0)</f>
        <v>0</v>
      </c>
      <c r="J523" s="197">
        <f ca="1">IFERROR(__xludf.DUMMYFUNCTION("IMPORTRANGE(""https://docs.google.com/spreadsheets/d/11923uPwbBZFjjGgGUA6NLw09EwE0CqkOc4q9oUmW1yo/edit?usp=sharing"",""พิจิตร!J418"")"),0)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3">
      <c r="A524" s="185"/>
      <c r="B524" s="186"/>
      <c r="C524" s="186"/>
      <c r="D524" s="203"/>
      <c r="E524" s="205"/>
      <c r="F524" s="205"/>
      <c r="G524" s="206"/>
      <c r="H524" s="430" t="s">
        <v>36</v>
      </c>
      <c r="I524" s="197">
        <f ca="1">IFERROR(__xludf.DUMMYFUNCTION("IMPORTRANGE(""https://docs.google.com/spreadsheets/d/11923uPwbBZFjjGgGUA6NLw09EwE0CqkOc4q9oUmW1yo/edit?usp=sharing"",""พิจิตร!I419"")"),0)</f>
        <v>0</v>
      </c>
      <c r="J524" s="197">
        <f ca="1">IFERROR(__xludf.DUMMYFUNCTION("IMPORTRANGE(""https://docs.google.com/spreadsheets/d/11923uPwbBZFjjGgGUA6NLw09EwE0CqkOc4q9oUmW1yo/edit?usp=sharing"",""พิจิตร!J419"")"),0)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3">
      <c r="A525" s="185"/>
      <c r="B525" s="186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IFERROR(__xludf.DUMMYFUNCTION("IMPORTRANGE(""https://docs.google.com/spreadsheets/d/11923uPwbBZFjjGgGUA6NLw09EwE0CqkOc4q9oUmW1yo/edit?usp=sharing"",""พิจิตร!I420"")"),0)</f>
        <v>0</v>
      </c>
      <c r="J525" s="292">
        <f ca="1">IFERROR(__xludf.DUMMYFUNCTION("IMPORTRANGE(""https://docs.google.com/spreadsheets/d/11923uPwbBZFjjGgGUA6NLw09EwE0CqkOc4q9oUmW1yo/edit?usp=sharing"",""พิจิตร!J420"")"),0)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3">
      <c r="A526" s="185"/>
      <c r="B526" s="186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IFERROR(__xludf.DUMMYFUNCTION("IMPORTRANGE(""https://docs.google.com/spreadsheets/d/11923uPwbBZFjjGgGUA6NLw09EwE0CqkOc4q9oUmW1yo/edit?usp=sharing"",""พิจิตร!I421"")"),0)</f>
        <v>0</v>
      </c>
      <c r="J526" s="292">
        <f ca="1">IFERROR(__xludf.DUMMYFUNCTION("IMPORTRANGE(""https://docs.google.com/spreadsheets/d/11923uPwbBZFjjGgGUA6NLw09EwE0CqkOc4q9oUmW1yo/edit?usp=sharing"",""พิจิตร!J421"")"),0)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3">
      <c r="A527" s="185"/>
      <c r="B527" s="186"/>
      <c r="C527" s="186"/>
      <c r="D527" s="203"/>
      <c r="E527" s="205"/>
      <c r="F527" s="205"/>
      <c r="G527" s="235" t="s">
        <v>196</v>
      </c>
      <c r="H527" s="430" t="s">
        <v>122</v>
      </c>
      <c r="I527" s="197">
        <f ca="1">IFERROR(__xludf.DUMMYFUNCTION("IMPORTRANGE(""https://docs.google.com/spreadsheets/d/11923uPwbBZFjjGgGUA6NLw09EwE0CqkOc4q9oUmW1yo/edit?usp=sharing"",""พิจิตร!I422"")"),0)</f>
        <v>0</v>
      </c>
      <c r="J527" s="207">
        <f ca="1">IFERROR(__xludf.DUMMYFUNCTION("IMPORTRANGE(""https://docs.google.com/spreadsheets/d/11923uPwbBZFjjGgGUA6NLw09EwE0CqkOc4q9oUmW1yo/edit?usp=sharing"",""พิจิตร!J422"")"),0)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3">
      <c r="A528" s="185"/>
      <c r="B528" s="186"/>
      <c r="C528" s="186"/>
      <c r="D528" s="203"/>
      <c r="E528" s="205"/>
      <c r="F528" s="205"/>
      <c r="G528" s="206"/>
      <c r="H528" s="430" t="s">
        <v>36</v>
      </c>
      <c r="I528" s="197">
        <f ca="1">IFERROR(__xludf.DUMMYFUNCTION("IMPORTRANGE(""https://docs.google.com/spreadsheets/d/11923uPwbBZFjjGgGUA6NLw09EwE0CqkOc4q9oUmW1yo/edit?usp=sharing"",""พิจิตร!I423"")"),0)</f>
        <v>0</v>
      </c>
      <c r="J528" s="207">
        <f ca="1">IFERROR(__xludf.DUMMYFUNCTION("IMPORTRANGE(""https://docs.google.com/spreadsheets/d/11923uPwbBZFjjGgGUA6NLw09EwE0CqkOc4q9oUmW1yo/edit?usp=sharing"",""พิจิตร!J423"")"),0)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3">
      <c r="A529" s="185"/>
      <c r="B529" s="186"/>
      <c r="C529" s="186"/>
      <c r="D529" s="203"/>
      <c r="E529" s="205"/>
      <c r="F529" s="205"/>
      <c r="G529" s="235" t="s">
        <v>197</v>
      </c>
      <c r="H529" s="430" t="s">
        <v>122</v>
      </c>
      <c r="I529" s="197">
        <f ca="1">IFERROR(__xludf.DUMMYFUNCTION("IMPORTRANGE(""https://docs.google.com/spreadsheets/d/11923uPwbBZFjjGgGUA6NLw09EwE0CqkOc4q9oUmW1yo/edit?usp=sharing"",""พิจิตร!I424"")"),0)</f>
        <v>0</v>
      </c>
      <c r="J529" s="207">
        <f ca="1">IFERROR(__xludf.DUMMYFUNCTION("IMPORTRANGE(""https://docs.google.com/spreadsheets/d/11923uPwbBZFjjGgGUA6NLw09EwE0CqkOc4q9oUmW1yo/edit?usp=sharing"",""พิจิตร!J424"")"),0)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3">
      <c r="A530" s="185"/>
      <c r="B530" s="186"/>
      <c r="C530" s="186"/>
      <c r="D530" s="203"/>
      <c r="E530" s="205"/>
      <c r="F530" s="205"/>
      <c r="G530" s="206"/>
      <c r="H530" s="430" t="s">
        <v>36</v>
      </c>
      <c r="I530" s="197">
        <f ca="1">IFERROR(__xludf.DUMMYFUNCTION("IMPORTRANGE(""https://docs.google.com/spreadsheets/d/11923uPwbBZFjjGgGUA6NLw09EwE0CqkOc4q9oUmW1yo/edit?usp=sharing"",""พิจิตร!I425"")"),0)</f>
        <v>0</v>
      </c>
      <c r="J530" s="207">
        <f ca="1">IFERROR(__xludf.DUMMYFUNCTION("IMPORTRANGE(""https://docs.google.com/spreadsheets/d/11923uPwbBZFjjGgGUA6NLw09EwE0CqkOc4q9oUmW1yo/edit?usp=sharing"",""พิจิตร!J425"")"),0)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3">
      <c r="A531" s="185"/>
      <c r="B531" s="186"/>
      <c r="C531" s="186"/>
      <c r="D531" s="203"/>
      <c r="E531" s="205"/>
      <c r="F531" s="205"/>
      <c r="G531" s="235" t="s">
        <v>201</v>
      </c>
      <c r="H531" s="430" t="s">
        <v>122</v>
      </c>
      <c r="I531" s="197">
        <f ca="1">IFERROR(__xludf.DUMMYFUNCTION("IMPORTRANGE(""https://docs.google.com/spreadsheets/d/11923uPwbBZFjjGgGUA6NLw09EwE0CqkOc4q9oUmW1yo/edit?usp=sharing"",""พิจิตร!I426"")"),0)</f>
        <v>0</v>
      </c>
      <c r="J531" s="207">
        <f ca="1">IFERROR(__xludf.DUMMYFUNCTION("IMPORTRANGE(""https://docs.google.com/spreadsheets/d/11923uPwbBZFjjGgGUA6NLw09EwE0CqkOc4q9oUmW1yo/edit?usp=sharing"",""พิจิตร!J426"")"),0)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3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IFERROR(__xludf.DUMMYFUNCTION("IMPORTRANGE(""https://docs.google.com/spreadsheets/d/11923uPwbBZFjjGgGUA6NLw09EwE0CqkOc4q9oUmW1yo/edit?usp=sharing"",""พิจิตร!I427"")"),0)</f>
        <v>0</v>
      </c>
      <c r="J532" s="474">
        <f ca="1">IFERROR(__xludf.DUMMYFUNCTION("IMPORTRANGE(""https://docs.google.com/spreadsheets/d/11923uPwbBZFjjGgGUA6NLw09EwE0CqkOc4q9oUmW1yo/edit?usp=sharing"",""พิจิตร!J427"")"),0)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3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IFERROR(__xludf.DUMMYFUNCTION("IMPORTRANGE(""https://docs.google.com/spreadsheets/d/11923uPwbBZFjjGgGUA6NLw09EwE0CqkOc4q9oUmW1yo/edit?usp=sharing"",""พิจิตร!I428"")"),22)</f>
        <v>22</v>
      </c>
      <c r="J533" s="418">
        <f ca="1">IFERROR(__xludf.DUMMYFUNCTION("IMPORTRANGE(""https://docs.google.com/spreadsheets/d/11923uPwbBZFjjGgGUA6NLw09EwE0CqkOc4q9oUmW1yo/edit?usp=sharing"",""พิจิตร!J428"")"),22)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IFERROR(__xludf.DUMMYFUNCTION("IMPORTRANGE(""https://docs.google.com/spreadsheets/d/11923uPwbBZFjjGgGUA6NLw09EwE0CqkOc4q9oUmW1yo/edit?usp=sharing"",""พิจิตร!L428"")"),34340)</f>
        <v>34340</v>
      </c>
      <c r="M533" s="420"/>
      <c r="N533" s="420">
        <f ca="1">IFERROR(__xludf.DUMMYFUNCTION("IMPORTRANGE(""https://docs.google.com/spreadsheets/d/11923uPwbBZFjjGgGUA6NLw09EwE0CqkOc4q9oUmW1yo/edit?usp=sharing"",""พิจิตร!M428"")"),18181)</f>
        <v>18181</v>
      </c>
      <c r="O533" s="420">
        <f t="shared" ref="O533:O537" ca="1" si="118">+IF(L533&gt;0,N533*100/L533,0)</f>
        <v>52.944088526499712</v>
      </c>
      <c r="P533" s="420"/>
    </row>
    <row r="534" spans="1:16" ht="21.75" customHeight="1" x14ac:dyDescent="0.3">
      <c r="A534" s="164"/>
      <c r="B534" s="165"/>
      <c r="C534" s="165" t="s">
        <v>16</v>
      </c>
      <c r="D534" s="166" t="s">
        <v>38</v>
      </c>
      <c r="E534" s="167"/>
      <c r="F534" s="167"/>
      <c r="G534" s="168" t="s">
        <v>39</v>
      </c>
      <c r="H534" s="169" t="s">
        <v>12</v>
      </c>
      <c r="I534" s="170" t="s">
        <v>40</v>
      </c>
      <c r="J534" s="170"/>
      <c r="K534" s="171"/>
      <c r="L534" s="172">
        <f ca="1">IFERROR(__xludf.DUMMYFUNCTION("IMPORTRANGE(""https://docs.google.com/spreadsheets/d/11923uPwbBZFjjGgGUA6NLw09EwE0CqkOc4q9oUmW1yo/edit?usp=sharing"",""พิจิตร!L429"")"),0)</f>
        <v>0</v>
      </c>
      <c r="M534" s="172"/>
      <c r="N534" s="178">
        <f ca="1">IFERROR(__xludf.DUMMYFUNCTION("IMPORTRANGE(""https://docs.google.com/spreadsheets/d/11923uPwbBZFjjGgGUA6NLw09EwE0CqkOc4q9oUmW1yo/edit?usp=sharing"",""พิจิตร!M429"")"),0)</f>
        <v>0</v>
      </c>
      <c r="O534" s="178">
        <f t="shared" ca="1" si="118"/>
        <v>0</v>
      </c>
      <c r="P534" s="178"/>
    </row>
    <row r="535" spans="1:16" ht="21.75" customHeight="1" x14ac:dyDescent="0.3">
      <c r="A535" s="164"/>
      <c r="B535" s="165"/>
      <c r="C535" s="165"/>
      <c r="D535" s="174"/>
      <c r="E535" s="167"/>
      <c r="F535" s="167" t="s">
        <v>40</v>
      </c>
      <c r="G535" s="168" t="s">
        <v>41</v>
      </c>
      <c r="H535" s="169" t="s">
        <v>12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IFERROR(__xludf.DUMMYFUNCTION("IMPORTRANGE(""https://docs.google.com/spreadsheets/d/11923uPwbBZFjjGgGUA6NLw09EwE0CqkOc4q9oUmW1yo/edit?usp=sharing"",""พิจิตร!L430"")"),34340)</f>
        <v>34340</v>
      </c>
      <c r="M535" s="173"/>
      <c r="N535" s="178">
        <f ca="1">IFERROR(__xludf.DUMMYFUNCTION("IMPORTRANGE(""https://docs.google.com/spreadsheets/d/11923uPwbBZFjjGgGUA6NLw09EwE0CqkOc4q9oUmW1yo/edit?usp=sharing"",""พิจิตร!M430"")"),18181)</f>
        <v>18181</v>
      </c>
      <c r="O535" s="178">
        <f t="shared" ca="1" si="118"/>
        <v>52.944088526499712</v>
      </c>
      <c r="P535" s="178"/>
    </row>
    <row r="536" spans="1:16" ht="21.75" customHeight="1" x14ac:dyDescent="0.3">
      <c r="A536" s="164"/>
      <c r="B536" s="165"/>
      <c r="C536" s="165"/>
      <c r="D536" s="174"/>
      <c r="E536" s="167"/>
      <c r="F536" s="167"/>
      <c r="G536" s="382" t="s">
        <v>129</v>
      </c>
      <c r="H536" s="169" t="s">
        <v>12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IFERROR(__xludf.DUMMYFUNCTION("IMPORTRANGE(""https://docs.google.com/spreadsheets/d/11923uPwbBZFjjGgGUA6NLw09EwE0CqkOc4q9oUmW1yo/edit?usp=sharing"",""พิจิตร!L431"")"),0)</f>
        <v>0</v>
      </c>
      <c r="M536" s="178"/>
      <c r="N536" s="178">
        <f ca="1">IFERROR(__xludf.DUMMYFUNCTION("IMPORTRANGE(""https://docs.google.com/spreadsheets/d/11923uPwbBZFjjGgGUA6NLw09EwE0CqkOc4q9oUmW1yo/edit?usp=sharing"",""พิจิตร!M431"")"),0)</f>
        <v>0</v>
      </c>
      <c r="O536" s="178">
        <f t="shared" ca="1" si="118"/>
        <v>0</v>
      </c>
      <c r="P536" s="178"/>
    </row>
    <row r="537" spans="1:16" ht="21.75" customHeight="1" x14ac:dyDescent="0.3">
      <c r="A537" s="164"/>
      <c r="B537" s="165"/>
      <c r="C537" s="165"/>
      <c r="D537" s="174"/>
      <c r="E537" s="167"/>
      <c r="F537" s="167"/>
      <c r="G537" s="382" t="s">
        <v>130</v>
      </c>
      <c r="H537" s="169" t="s">
        <v>12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IFERROR(__xludf.DUMMYFUNCTION("IMPORTRANGE(""https://docs.google.com/spreadsheets/d/11923uPwbBZFjjGgGUA6NLw09EwE0CqkOc4q9oUmW1yo/edit?usp=sharing"",""พิจิตร!L432"")"),34340)</f>
        <v>34340</v>
      </c>
      <c r="M537" s="178"/>
      <c r="N537" s="178">
        <f ca="1">IFERROR(__xludf.DUMMYFUNCTION("IMPORTRANGE(""https://docs.google.com/spreadsheets/d/11923uPwbBZFjjGgGUA6NLw09EwE0CqkOc4q9oUmW1yo/edit?usp=sharing"",""พิจิตร!M432"")"),18181)</f>
        <v>18181</v>
      </c>
      <c r="O537" s="178">
        <f t="shared" ca="1" si="118"/>
        <v>52.944088526499712</v>
      </c>
      <c r="P537" s="178"/>
    </row>
    <row r="538" spans="1:16" ht="21.75" customHeight="1" x14ac:dyDescent="0.3">
      <c r="A538" s="383"/>
      <c r="B538" s="384"/>
      <c r="C538" s="165"/>
      <c r="D538" s="385"/>
      <c r="E538" s="167"/>
      <c r="F538" s="167"/>
      <c r="G538" s="386" t="s">
        <v>131</v>
      </c>
      <c r="H538" s="169" t="s">
        <v>12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IFERROR(__xludf.DUMMYFUNCTION("IMPORTRANGE(""https://docs.google.com/spreadsheets/d/11923uPwbBZFjjGgGUA6NLw09EwE0CqkOc4q9oUmW1yo/edit?usp=sharing"",""พิจิตร!M433"")"),17181)</f>
        <v>17181</v>
      </c>
      <c r="O538" s="178"/>
      <c r="P538" s="178"/>
    </row>
    <row r="539" spans="1:16" ht="21.75" customHeight="1" x14ac:dyDescent="0.3">
      <c r="A539" s="383"/>
      <c r="B539" s="384"/>
      <c r="C539" s="165"/>
      <c r="D539" s="385"/>
      <c r="E539" s="167"/>
      <c r="F539" s="167"/>
      <c r="G539" s="386" t="s">
        <v>132</v>
      </c>
      <c r="H539" s="169" t="s">
        <v>12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IFERROR(__xludf.DUMMYFUNCTION("IMPORTRANGE(""https://docs.google.com/spreadsheets/d/11923uPwbBZFjjGgGUA6NLw09EwE0CqkOc4q9oUmW1yo/edit?usp=sharing"",""พิจิตร!M434"")"),0)</f>
        <v>0</v>
      </c>
      <c r="O539" s="178"/>
      <c r="P539" s="178"/>
    </row>
    <row r="540" spans="1:16" ht="21.75" customHeight="1" x14ac:dyDescent="0.3">
      <c r="A540" s="383"/>
      <c r="B540" s="384"/>
      <c r="C540" s="165"/>
      <c r="D540" s="385"/>
      <c r="E540" s="167"/>
      <c r="F540" s="167"/>
      <c r="G540" s="386" t="s">
        <v>133</v>
      </c>
      <c r="H540" s="169" t="s">
        <v>12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IFERROR(__xludf.DUMMYFUNCTION("IMPORTRANGE(""https://docs.google.com/spreadsheets/d/11923uPwbBZFjjGgGUA6NLw09EwE0CqkOc4q9oUmW1yo/edit?usp=sharing"",""พิจิตร!M435"")"),0)</f>
        <v>0</v>
      </c>
      <c r="O540" s="178"/>
      <c r="P540" s="178"/>
    </row>
    <row r="541" spans="1:16" ht="21.75" customHeight="1" x14ac:dyDescent="0.3">
      <c r="A541" s="383"/>
      <c r="B541" s="384"/>
      <c r="C541" s="165"/>
      <c r="D541" s="385"/>
      <c r="E541" s="167"/>
      <c r="F541" s="167"/>
      <c r="G541" s="386" t="s">
        <v>134</v>
      </c>
      <c r="H541" s="169" t="s">
        <v>12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IFERROR(__xludf.DUMMYFUNCTION("IMPORTRANGE(""https://docs.google.com/spreadsheets/d/11923uPwbBZFjjGgGUA6NLw09EwE0CqkOc4q9oUmW1yo/edit?usp=sharing"",""พิจิตร!M436"")"),1000)</f>
        <v>1000</v>
      </c>
      <c r="O541" s="178"/>
      <c r="P541" s="178"/>
    </row>
    <row r="542" spans="1:16" ht="21.75" customHeight="1" x14ac:dyDescent="0.3">
      <c r="A542" s="185"/>
      <c r="B542" s="186"/>
      <c r="C542" s="165" t="s">
        <v>16</v>
      </c>
      <c r="D542" s="187" t="s">
        <v>44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3">
      <c r="A543" s="185"/>
      <c r="B543" s="186"/>
      <c r="C543" s="186"/>
      <c r="D543" s="192">
        <v>1</v>
      </c>
      <c r="E543" s="193" t="s">
        <v>45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IFERROR(__xludf.DUMMYFUNCTION("IMPORTRANGE(""https://docs.google.com/spreadsheets/d/11923uPwbBZFjjGgGUA6NLw09EwE0CqkOc4q9oUmW1yo/edit?usp=sharing"",""พิจิตร!J438"")"),0)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3">
      <c r="A544" s="185"/>
      <c r="B544" s="186"/>
      <c r="C544" s="186"/>
      <c r="D544" s="199">
        <v>2</v>
      </c>
      <c r="E544" s="200" t="s">
        <v>46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IFERROR(__xludf.DUMMYFUNCTION("IMPORTRANGE(""https://docs.google.com/spreadsheets/d/11923uPwbBZFjjGgGUA6NLw09EwE0CqkOc4q9oUmW1yo/edit?usp=sharing"",""พิจิตร!J439"")"),1)</f>
        <v>1</v>
      </c>
      <c r="K544" s="171"/>
      <c r="L544" s="191" t="s">
        <v>40</v>
      </c>
      <c r="M544" s="191"/>
      <c r="N544" s="191" t="s">
        <v>40</v>
      </c>
      <c r="O544" s="191"/>
      <c r="P544" s="191"/>
    </row>
    <row r="545" spans="1:16" ht="21.75" customHeight="1" x14ac:dyDescent="0.3">
      <c r="A545" s="185"/>
      <c r="B545" s="186"/>
      <c r="C545" s="186"/>
      <c r="D545" s="203"/>
      <c r="E545" s="204" t="s">
        <v>47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IFERROR(__xludf.DUMMYFUNCTION("IMPORTRANGE(""https://docs.google.com/spreadsheets/d/11923uPwbBZFjjGgGUA6NLw09EwE0CqkOc4q9oUmW1yo/edit?usp=sharing"",""พิจิตร!J440"")"),1)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3">
      <c r="A546" s="185"/>
      <c r="B546" s="186"/>
      <c r="C546" s="186"/>
      <c r="D546" s="203"/>
      <c r="E546" s="204" t="s">
        <v>48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IFERROR(__xludf.DUMMYFUNCTION("IMPORTRANGE(""https://docs.google.com/spreadsheets/d/11923uPwbBZFjjGgGUA6NLw09EwE0CqkOc4q9oUmW1yo/edit?usp=sharing"",""พิจิตร!J441"")"),1)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3">
      <c r="A547" s="185"/>
      <c r="B547" s="186"/>
      <c r="C547" s="186"/>
      <c r="D547" s="203"/>
      <c r="E547" s="208"/>
      <c r="F547" s="205"/>
      <c r="G547" s="235" t="s">
        <v>203</v>
      </c>
      <c r="H547" s="196" t="s">
        <v>37</v>
      </c>
      <c r="I547" s="213">
        <f ca="1">IFERROR(__xludf.DUMMYFUNCTION("IMPORTRANGE(""https://docs.google.com/spreadsheets/d/11923uPwbBZFjjGgGUA6NLw09EwE0CqkOc4q9oUmW1yo/edit?usp=sharing"",""พิจิตร!I442"")"),22)</f>
        <v>22</v>
      </c>
      <c r="J547" s="198">
        <f ca="1">IFERROR(__xludf.DUMMYFUNCTION("IMPORTRANGE(""https://docs.google.com/spreadsheets/d/11923uPwbBZFjjGgGUA6NLw09EwE0CqkOc4q9oUmW1yo/edit?usp=sharing"",""พิจิตร!J442"")"),22)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3">
      <c r="A548" s="185"/>
      <c r="B548" s="186"/>
      <c r="C548" s="186"/>
      <c r="D548" s="203"/>
      <c r="E548" s="208"/>
      <c r="F548" s="205"/>
      <c r="G548" s="235" t="s">
        <v>204</v>
      </c>
      <c r="H548" s="196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IFERROR(__xludf.DUMMYFUNCTION("IMPORTRANGE(""https://docs.google.com/spreadsheets/d/11923uPwbBZFjjGgGUA6NLw09EwE0CqkOc4q9oUmW1yo/edit?usp=sharing"",""พิจิตร!J166"")"),0)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3">
      <c r="A549" s="185"/>
      <c r="B549" s="186"/>
      <c r="C549" s="186"/>
      <c r="D549" s="203"/>
      <c r="E549" s="204" t="s">
        <v>54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IFERROR(__xludf.DUMMYFUNCTION("IMPORTRANGE(""https://docs.google.com/spreadsheets/d/11923uPwbBZFjjGgGUA6NLw09EwE0CqkOc4q9oUmW1yo/edit?usp=sharing"",""พิจิตร!J444"")"),1)</f>
        <v>1</v>
      </c>
      <c r="K549" s="171"/>
      <c r="L549" s="191"/>
      <c r="M549" s="191"/>
      <c r="N549" s="191"/>
      <c r="O549" s="191"/>
      <c r="P549" s="191"/>
    </row>
    <row r="550" spans="1:16" ht="21.75" customHeight="1" x14ac:dyDescent="0.3">
      <c r="A550" s="467"/>
      <c r="B550" s="468"/>
      <c r="C550" s="468"/>
      <c r="D550" s="477">
        <v>3</v>
      </c>
      <c r="E550" s="478" t="s">
        <v>55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IFERROR(__xludf.DUMMYFUNCTION("IMPORTRANGE(""https://docs.google.com/spreadsheets/d/11923uPwbBZFjjGgGUA6NLw09EwE0CqkOc4q9oUmW1yo/edit?usp=sharing"",""พิจิตร!J445"")"),0)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3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IFERROR(__xludf.DUMMYFUNCTION("IMPORTRANGE(""https://docs.google.com/spreadsheets/d/11923uPwbBZFjjGgGUA6NLw09EwE0CqkOc4q9oUmW1yo/edit?usp=sharing"",""พิจิตร!I446"")"),0)</f>
        <v>0</v>
      </c>
      <c r="J551" s="418">
        <f ca="1">IFERROR(__xludf.DUMMYFUNCTION("IMPORTRANGE(""https://docs.google.com/spreadsheets/d/11923uPwbBZFjjGgGUA6NLw09EwE0CqkOc4q9oUmW1yo/edit?usp=sharing"",""พิจิตร!J446"")"),0)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IFERROR(__xludf.DUMMYFUNCTION("IMPORTRANGE(""https://docs.google.com/spreadsheets/d/11923uPwbBZFjjGgGUA6NLw09EwE0CqkOc4q9oUmW1yo/edit?usp=sharing"",""พิจิตร!L446"")"),0)</f>
        <v>0</v>
      </c>
      <c r="M551" s="420"/>
      <c r="N551" s="420">
        <f ca="1">IFERROR(__xludf.DUMMYFUNCTION("IMPORTRANGE(""https://docs.google.com/spreadsheets/d/11923uPwbBZFjjGgGUA6NLw09EwE0CqkOc4q9oUmW1yo/edit?usp=sharing"",""พิจิตร!M446"")"),0)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3">
      <c r="A552" s="164"/>
      <c r="B552" s="165"/>
      <c r="C552" s="165" t="s">
        <v>16</v>
      </c>
      <c r="D552" s="166" t="s">
        <v>38</v>
      </c>
      <c r="E552" s="167"/>
      <c r="F552" s="167"/>
      <c r="G552" s="168" t="s">
        <v>39</v>
      </c>
      <c r="H552" s="169" t="s">
        <v>12</v>
      </c>
      <c r="I552" s="170" t="s">
        <v>40</v>
      </c>
      <c r="J552" s="170"/>
      <c r="K552" s="171"/>
      <c r="L552" s="172">
        <f ca="1">IFERROR(__xludf.DUMMYFUNCTION("IMPORTRANGE(""https://docs.google.com/spreadsheets/d/11923uPwbBZFjjGgGUA6NLw09EwE0CqkOc4q9oUmW1yo/edit?usp=sharing"",""พิจิตร!L447"")"),0)</f>
        <v>0</v>
      </c>
      <c r="M552" s="172"/>
      <c r="N552" s="178">
        <f ca="1">IFERROR(__xludf.DUMMYFUNCTION("IMPORTRANGE(""https://docs.google.com/spreadsheets/d/11923uPwbBZFjjGgGUA6NLw09EwE0CqkOc4q9oUmW1yo/edit?usp=sharing"",""พิจิตร!M447"")"),0)</f>
        <v>0</v>
      </c>
      <c r="O552" s="178">
        <f t="shared" ca="1" si="120"/>
        <v>0</v>
      </c>
      <c r="P552" s="178"/>
    </row>
    <row r="553" spans="1:16" ht="21.75" customHeight="1" x14ac:dyDescent="0.3">
      <c r="A553" s="164"/>
      <c r="B553" s="165"/>
      <c r="C553" s="165"/>
      <c r="D553" s="174"/>
      <c r="E553" s="167"/>
      <c r="F553" s="167" t="s">
        <v>40</v>
      </c>
      <c r="G553" s="168" t="s">
        <v>41</v>
      </c>
      <c r="H553" s="169" t="s">
        <v>12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IFERROR(__xludf.DUMMYFUNCTION("IMPORTRANGE(""https://docs.google.com/spreadsheets/d/11923uPwbBZFjjGgGUA6NLw09EwE0CqkOc4q9oUmW1yo/edit?usp=sharing"",""พิจิตร!L448"")"),0)</f>
        <v>0</v>
      </c>
      <c r="M553" s="173"/>
      <c r="N553" s="178">
        <f ca="1">IFERROR(__xludf.DUMMYFUNCTION("IMPORTRANGE(""https://docs.google.com/spreadsheets/d/11923uPwbBZFjjGgGUA6NLw09EwE0CqkOc4q9oUmW1yo/edit?usp=sharing"",""พิจิตร!M448"")"),0)</f>
        <v>0</v>
      </c>
      <c r="O553" s="178">
        <f t="shared" ca="1" si="120"/>
        <v>0</v>
      </c>
      <c r="P553" s="178"/>
    </row>
    <row r="554" spans="1:16" ht="21.75" customHeight="1" x14ac:dyDescent="0.3">
      <c r="A554" s="164"/>
      <c r="B554" s="165"/>
      <c r="C554" s="165"/>
      <c r="D554" s="174"/>
      <c r="E554" s="167"/>
      <c r="F554" s="167"/>
      <c r="G554" s="382" t="s">
        <v>129</v>
      </c>
      <c r="H554" s="169" t="s">
        <v>12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IFERROR(__xludf.DUMMYFUNCTION("IMPORTRANGE(""https://docs.google.com/spreadsheets/d/11923uPwbBZFjjGgGUA6NLw09EwE0CqkOc4q9oUmW1yo/edit?usp=sharing"",""พิจิตร!L449"")"),0)</f>
        <v>0</v>
      </c>
      <c r="M554" s="178"/>
      <c r="N554" s="178">
        <f ca="1">IFERROR(__xludf.DUMMYFUNCTION("IMPORTRANGE(""https://docs.google.com/spreadsheets/d/11923uPwbBZFjjGgGUA6NLw09EwE0CqkOc4q9oUmW1yo/edit?usp=sharing"",""พิจิตร!M449"")"),0)</f>
        <v>0</v>
      </c>
      <c r="O554" s="178">
        <f t="shared" ca="1" si="120"/>
        <v>0</v>
      </c>
      <c r="P554" s="178"/>
    </row>
    <row r="555" spans="1:16" ht="21.75" customHeight="1" x14ac:dyDescent="0.3">
      <c r="A555" s="164"/>
      <c r="B555" s="165"/>
      <c r="C555" s="165"/>
      <c r="D555" s="174"/>
      <c r="E555" s="167"/>
      <c r="F555" s="167"/>
      <c r="G555" s="382" t="s">
        <v>130</v>
      </c>
      <c r="H555" s="169" t="s">
        <v>12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IFERROR(__xludf.DUMMYFUNCTION("IMPORTRANGE(""https://docs.google.com/spreadsheets/d/11923uPwbBZFjjGgGUA6NLw09EwE0CqkOc4q9oUmW1yo/edit?usp=sharing"",""พิจิตร!L450"")"),0)</f>
        <v>0</v>
      </c>
      <c r="M555" s="178"/>
      <c r="N555" s="178">
        <f ca="1">IFERROR(__xludf.DUMMYFUNCTION("IMPORTRANGE(""https://docs.google.com/spreadsheets/d/11923uPwbBZFjjGgGUA6NLw09EwE0CqkOc4q9oUmW1yo/edit?usp=sharing"",""พิจิตร!M450"")"),0)</f>
        <v>0</v>
      </c>
      <c r="O555" s="178">
        <f t="shared" ca="1" si="120"/>
        <v>0</v>
      </c>
      <c r="P555" s="178"/>
    </row>
    <row r="556" spans="1:16" ht="21.75" customHeight="1" x14ac:dyDescent="0.3">
      <c r="A556" s="383"/>
      <c r="B556" s="384"/>
      <c r="C556" s="165"/>
      <c r="D556" s="385"/>
      <c r="E556" s="167"/>
      <c r="F556" s="167"/>
      <c r="G556" s="386" t="s">
        <v>131</v>
      </c>
      <c r="H556" s="169" t="s">
        <v>12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IFERROR(__xludf.DUMMYFUNCTION("IMPORTRANGE(""https://docs.google.com/spreadsheets/d/11923uPwbBZFjjGgGUA6NLw09EwE0CqkOc4q9oUmW1yo/edit?usp=sharing"",""พิจิตร!M451"")"),0)</f>
        <v>0</v>
      </c>
      <c r="O556" s="178"/>
      <c r="P556" s="178"/>
    </row>
    <row r="557" spans="1:16" ht="21.75" customHeight="1" x14ac:dyDescent="0.3">
      <c r="A557" s="383"/>
      <c r="B557" s="384"/>
      <c r="C557" s="165"/>
      <c r="D557" s="385"/>
      <c r="E557" s="167"/>
      <c r="F557" s="167"/>
      <c r="G557" s="386" t="s">
        <v>132</v>
      </c>
      <c r="H557" s="169" t="s">
        <v>12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IFERROR(__xludf.DUMMYFUNCTION("IMPORTRANGE(""https://docs.google.com/spreadsheets/d/11923uPwbBZFjjGgGUA6NLw09EwE0CqkOc4q9oUmW1yo/edit?usp=sharing"",""พิจิตร!M452"")"),0)</f>
        <v>0</v>
      </c>
      <c r="O557" s="178"/>
      <c r="P557" s="178"/>
    </row>
    <row r="558" spans="1:16" ht="21.75" customHeight="1" x14ac:dyDescent="0.3">
      <c r="A558" s="383"/>
      <c r="B558" s="384"/>
      <c r="C558" s="165"/>
      <c r="D558" s="385"/>
      <c r="E558" s="167"/>
      <c r="F558" s="167"/>
      <c r="G558" s="386" t="s">
        <v>133</v>
      </c>
      <c r="H558" s="169" t="s">
        <v>12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IFERROR(__xludf.DUMMYFUNCTION("IMPORTRANGE(""https://docs.google.com/spreadsheets/d/11923uPwbBZFjjGgGUA6NLw09EwE0CqkOc4q9oUmW1yo/edit?usp=sharing"",""พิจิตร!M453"")"),0)</f>
        <v>0</v>
      </c>
      <c r="O558" s="178"/>
      <c r="P558" s="178"/>
    </row>
    <row r="559" spans="1:16" ht="21.75" customHeight="1" x14ac:dyDescent="0.3">
      <c r="A559" s="383"/>
      <c r="B559" s="384"/>
      <c r="C559" s="165"/>
      <c r="D559" s="385"/>
      <c r="E559" s="167"/>
      <c r="F559" s="167"/>
      <c r="G559" s="386" t="s">
        <v>134</v>
      </c>
      <c r="H559" s="169" t="s">
        <v>12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IFERROR(__xludf.DUMMYFUNCTION("IMPORTRANGE(""https://docs.google.com/spreadsheets/d/11923uPwbBZFjjGgGUA6NLw09EwE0CqkOc4q9oUmW1yo/edit?usp=sharing"",""พิจิตร!M454"")"),0)</f>
        <v>0</v>
      </c>
      <c r="O559" s="178"/>
      <c r="P559" s="178"/>
    </row>
    <row r="560" spans="1:16" ht="21.75" customHeight="1" x14ac:dyDescent="0.3">
      <c r="A560" s="185"/>
      <c r="B560" s="186"/>
      <c r="C560" s="186"/>
      <c r="D560" s="203"/>
      <c r="E560" s="205"/>
      <c r="F560" s="287" t="s">
        <v>206</v>
      </c>
      <c r="G560" s="206"/>
      <c r="H560" s="483" t="s">
        <v>122</v>
      </c>
      <c r="I560" s="170">
        <f ca="1">IFERROR(__xludf.DUMMYFUNCTION("IMPORTRANGE(""https://docs.google.com/spreadsheets/d/11923uPwbBZFjjGgGUA6NLw09EwE0CqkOc4q9oUmW1yo/edit?usp=sharing"",""พิจิตร!I455"")"),0)</f>
        <v>0</v>
      </c>
      <c r="J560" s="170">
        <f ca="1">IFERROR(__xludf.DUMMYFUNCTION("IMPORTRANGE(""https://docs.google.com/spreadsheets/d/11923uPwbBZFjjGgGUA6NLw09EwE0CqkOc4q9oUmW1yo/edit?usp=sharing"",""พิจิตร!J455"")"),0)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3">
      <c r="A561" s="185"/>
      <c r="B561" s="186"/>
      <c r="C561" s="186"/>
      <c r="D561" s="203"/>
      <c r="E561" s="205"/>
      <c r="F561" s="205"/>
      <c r="G561" s="206"/>
      <c r="H561" s="483" t="s">
        <v>36</v>
      </c>
      <c r="I561" s="170">
        <f ca="1">IFERROR(__xludf.DUMMYFUNCTION("IMPORTRANGE(""https://docs.google.com/spreadsheets/d/11923uPwbBZFjjGgGUA6NLw09EwE0CqkOc4q9oUmW1yo/edit?usp=sharing"",""พิจิตร!I456"")"),0)</f>
        <v>0</v>
      </c>
      <c r="J561" s="213">
        <f ca="1">IFERROR(__xludf.DUMMYFUNCTION("IMPORTRANGE(""https://docs.google.com/spreadsheets/d/11923uPwbBZFjjGgGUA6NLw09EwE0CqkOc4q9oUmW1yo/edit?usp=sharing"",""พิจิตร!J456"")"),0)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3">
      <c r="A562" s="185"/>
      <c r="B562" s="186"/>
      <c r="C562" s="186"/>
      <c r="D562" s="203"/>
      <c r="E562" s="205"/>
      <c r="F562" s="205" t="s">
        <v>207</v>
      </c>
      <c r="G562" s="206"/>
      <c r="H562" s="483" t="s">
        <v>122</v>
      </c>
      <c r="I562" s="170" t="str">
        <f ca="1">IFERROR(__xludf.DUMMYFUNCTION("IMPORTRANGE(""https://docs.google.com/spreadsheets/d/11923uPwbBZFjjGgGUA6NLw09EwE0CqkOc4q9oUmW1yo/edit?usp=sharing"",""พิจิตร!I457"")"),"")</f>
        <v/>
      </c>
      <c r="J562" s="213" t="str">
        <f ca="1">IFERROR(__xludf.DUMMYFUNCTION("IMPORTRANGE(""https://docs.google.com/spreadsheets/d/11923uPwbBZFjjGgGUA6NLw09EwE0CqkOc4q9oUmW1yo/edit?usp=sharing"",""พิจิตร!J457"")"),"")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3">
      <c r="A563" s="185"/>
      <c r="B563" s="186"/>
      <c r="C563" s="186"/>
      <c r="D563" s="203"/>
      <c r="E563" s="205"/>
      <c r="F563" s="205"/>
      <c r="G563" s="206"/>
      <c r="H563" s="483" t="s">
        <v>36</v>
      </c>
      <c r="I563" s="170" t="str">
        <f ca="1">IFERROR(__xludf.DUMMYFUNCTION("IMPORTRANGE(""https://docs.google.com/spreadsheets/d/11923uPwbBZFjjGgGUA6NLw09EwE0CqkOc4q9oUmW1yo/edit?usp=sharing"",""พิจิตร!I458"")"),"")</f>
        <v/>
      </c>
      <c r="J563" s="197" t="str">
        <f ca="1">IFERROR(__xludf.DUMMYFUNCTION("IMPORTRANGE(""https://docs.google.com/spreadsheets/d/11923uPwbBZFjjGgGUA6NLw09EwE0CqkOc4q9oUmW1yo/edit?usp=sharing"",""พิจิตร!J458"")"),"")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3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IFERROR(__xludf.DUMMYFUNCTION("IMPORTRANGE(""https://docs.google.com/spreadsheets/d/11923uPwbBZFjjGgGUA6NLw09EwE0CqkOc4q9oUmW1yo/edit?usp=sharing"",""พิจิตร!I459"")"),1100)</f>
        <v>1100</v>
      </c>
      <c r="J564" s="379">
        <f ca="1">IFERROR(__xludf.DUMMYFUNCTION("IMPORTRANGE(""https://docs.google.com/spreadsheets/d/11923uPwbBZFjjGgGUA6NLw09EwE0CqkOc4q9oUmW1yo/edit?usp=sharing"",""พิจิตร!J459"")"),671)</f>
        <v>671</v>
      </c>
      <c r="K564" s="380">
        <f t="shared" ca="1" si="121"/>
        <v>61</v>
      </c>
      <c r="L564" s="381">
        <f ca="1">IFERROR(__xludf.DUMMYFUNCTION("IMPORTRANGE(""https://docs.google.com/spreadsheets/d/11923uPwbBZFjjGgGUA6NLw09EwE0CqkOc4q9oUmW1yo/edit?usp=sharing"",""พิจิตร!L459"")"),126080)</f>
        <v>126080</v>
      </c>
      <c r="M564" s="381"/>
      <c r="N564" s="381">
        <f ca="1">IFERROR(__xludf.DUMMYFUNCTION("IMPORTRANGE(""https://docs.google.com/spreadsheets/d/11923uPwbBZFjjGgGUA6NLw09EwE0CqkOc4q9oUmW1yo/edit?usp=sharing"",""พิจิตร!M459"")"),28706.19)</f>
        <v>28706.19</v>
      </c>
      <c r="O564" s="381">
        <f t="shared" ref="O564:O568" ca="1" si="122">+IF(L564&gt;0,N564*100/L564,0)</f>
        <v>22.768234454314722</v>
      </c>
      <c r="P564" s="381"/>
    </row>
    <row r="565" spans="1:16" ht="21.75" customHeight="1" x14ac:dyDescent="0.3">
      <c r="A565" s="164"/>
      <c r="B565" s="165"/>
      <c r="C565" s="165" t="s">
        <v>16</v>
      </c>
      <c r="D565" s="166" t="s">
        <v>38</v>
      </c>
      <c r="E565" s="167"/>
      <c r="F565" s="167"/>
      <c r="G565" s="168" t="s">
        <v>39</v>
      </c>
      <c r="H565" s="169" t="s">
        <v>12</v>
      </c>
      <c r="I565" s="170" t="s">
        <v>40</v>
      </c>
      <c r="J565" s="170"/>
      <c r="K565" s="171"/>
      <c r="L565" s="172">
        <f ca="1">IFERROR(__xludf.DUMMYFUNCTION("IMPORTRANGE(""https://docs.google.com/spreadsheets/d/11923uPwbBZFjjGgGUA6NLw09EwE0CqkOc4q9oUmW1yo/edit?usp=sharing"",""พิจิตร!L460"")"),0)</f>
        <v>0</v>
      </c>
      <c r="M565" s="172"/>
      <c r="N565" s="178">
        <f ca="1">IFERROR(__xludf.DUMMYFUNCTION("IMPORTRANGE(""https://docs.google.com/spreadsheets/d/11923uPwbBZFjjGgGUA6NLw09EwE0CqkOc4q9oUmW1yo/edit?usp=sharing"",""พิจิตร!M460"")"),0)</f>
        <v>0</v>
      </c>
      <c r="O565" s="178">
        <f t="shared" ca="1" si="122"/>
        <v>0</v>
      </c>
      <c r="P565" s="178"/>
    </row>
    <row r="566" spans="1:16" ht="21.75" customHeight="1" x14ac:dyDescent="0.3">
      <c r="A566" s="164"/>
      <c r="B566" s="165"/>
      <c r="C566" s="165"/>
      <c r="D566" s="174"/>
      <c r="E566" s="167"/>
      <c r="F566" s="167" t="s">
        <v>40</v>
      </c>
      <c r="G566" s="168" t="s">
        <v>41</v>
      </c>
      <c r="H566" s="169" t="s">
        <v>12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IFERROR(__xludf.DUMMYFUNCTION("IMPORTRANGE(""https://docs.google.com/spreadsheets/d/11923uPwbBZFjjGgGUA6NLw09EwE0CqkOc4q9oUmW1yo/edit?usp=sharing"",""พิจิตร!L461"")"),126080)</f>
        <v>126080</v>
      </c>
      <c r="M566" s="173"/>
      <c r="N566" s="178">
        <f ca="1">IFERROR(__xludf.DUMMYFUNCTION("IMPORTRANGE(""https://docs.google.com/spreadsheets/d/11923uPwbBZFjjGgGUA6NLw09EwE0CqkOc4q9oUmW1yo/edit?usp=sharing"",""พิจิตร!M461"")"),28706.19)</f>
        <v>28706.19</v>
      </c>
      <c r="O566" s="178">
        <f t="shared" ca="1" si="122"/>
        <v>22.768234454314722</v>
      </c>
      <c r="P566" s="178"/>
    </row>
    <row r="567" spans="1:16" ht="21.75" customHeight="1" x14ac:dyDescent="0.3">
      <c r="A567" s="164"/>
      <c r="B567" s="165"/>
      <c r="C567" s="165"/>
      <c r="D567" s="174"/>
      <c r="E567" s="167"/>
      <c r="F567" s="167"/>
      <c r="G567" s="382" t="s">
        <v>129</v>
      </c>
      <c r="H567" s="169" t="s">
        <v>12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IFERROR(__xludf.DUMMYFUNCTION("IMPORTRANGE(""https://docs.google.com/spreadsheets/d/11923uPwbBZFjjGgGUA6NLw09EwE0CqkOc4q9oUmW1yo/edit?usp=sharing"",""พิจิตร!L462"")"),0)</f>
        <v>0</v>
      </c>
      <c r="M567" s="178"/>
      <c r="N567" s="178">
        <f ca="1">IFERROR(__xludf.DUMMYFUNCTION("IMPORTRANGE(""https://docs.google.com/spreadsheets/d/11923uPwbBZFjjGgGUA6NLw09EwE0CqkOc4q9oUmW1yo/edit?usp=sharing"",""พิจิตร!M462"")"),0)</f>
        <v>0</v>
      </c>
      <c r="O567" s="178">
        <f t="shared" ca="1" si="122"/>
        <v>0</v>
      </c>
      <c r="P567" s="178"/>
    </row>
    <row r="568" spans="1:16" ht="21.75" customHeight="1" x14ac:dyDescent="0.3">
      <c r="A568" s="164"/>
      <c r="B568" s="165"/>
      <c r="C568" s="165"/>
      <c r="D568" s="174"/>
      <c r="E568" s="167"/>
      <c r="F568" s="167"/>
      <c r="G568" s="382" t="s">
        <v>130</v>
      </c>
      <c r="H568" s="169" t="s">
        <v>12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IFERROR(__xludf.DUMMYFUNCTION("IMPORTRANGE(""https://docs.google.com/spreadsheets/d/11923uPwbBZFjjGgGUA6NLw09EwE0CqkOc4q9oUmW1yo/edit?usp=sharing"",""พิจิตร!L463"")"),126080)</f>
        <v>126080</v>
      </c>
      <c r="M568" s="178"/>
      <c r="N568" s="178">
        <f ca="1">IFERROR(__xludf.DUMMYFUNCTION("IMPORTRANGE(""https://docs.google.com/spreadsheets/d/11923uPwbBZFjjGgGUA6NLw09EwE0CqkOc4q9oUmW1yo/edit?usp=sharing"",""พิจิตร!M463"")"),28706.19)</f>
        <v>28706.19</v>
      </c>
      <c r="O568" s="178">
        <f t="shared" ca="1" si="122"/>
        <v>22.768234454314722</v>
      </c>
      <c r="P568" s="178"/>
    </row>
    <row r="569" spans="1:16" ht="21.75" customHeight="1" x14ac:dyDescent="0.3">
      <c r="A569" s="383"/>
      <c r="B569" s="384"/>
      <c r="C569" s="165"/>
      <c r="D569" s="385"/>
      <c r="E569" s="167"/>
      <c r="F569" s="167"/>
      <c r="G569" s="386" t="s">
        <v>131</v>
      </c>
      <c r="H569" s="169" t="s">
        <v>12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IFERROR(__xludf.DUMMYFUNCTION("IMPORTRANGE(""https://docs.google.com/spreadsheets/d/11923uPwbBZFjjGgGUA6NLw09EwE0CqkOc4q9oUmW1yo/edit?usp=sharing"",""พิจิตร!M464"")"),0)</f>
        <v>0</v>
      </c>
      <c r="O569" s="178"/>
      <c r="P569" s="178"/>
    </row>
    <row r="570" spans="1:16" ht="21.75" customHeight="1" x14ac:dyDescent="0.3">
      <c r="A570" s="383"/>
      <c r="B570" s="384"/>
      <c r="C570" s="165"/>
      <c r="D570" s="385"/>
      <c r="E570" s="167"/>
      <c r="F570" s="167"/>
      <c r="G570" s="386" t="s">
        <v>132</v>
      </c>
      <c r="H570" s="169" t="s">
        <v>12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IFERROR(__xludf.DUMMYFUNCTION("IMPORTRANGE(""https://docs.google.com/spreadsheets/d/11923uPwbBZFjjGgGUA6NLw09EwE0CqkOc4q9oUmW1yo/edit?usp=sharing"",""พิจิตร!M465"")"),0)</f>
        <v>0</v>
      </c>
      <c r="O570" s="178"/>
      <c r="P570" s="178"/>
    </row>
    <row r="571" spans="1:16" ht="21.75" customHeight="1" x14ac:dyDescent="0.3">
      <c r="A571" s="383"/>
      <c r="B571" s="384"/>
      <c r="C571" s="165"/>
      <c r="D571" s="385"/>
      <c r="E571" s="167"/>
      <c r="F571" s="167"/>
      <c r="G571" s="386" t="s">
        <v>133</v>
      </c>
      <c r="H571" s="169" t="s">
        <v>12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IFERROR(__xludf.DUMMYFUNCTION("IMPORTRANGE(""https://docs.google.com/spreadsheets/d/11923uPwbBZFjjGgGUA6NLw09EwE0CqkOc4q9oUmW1yo/edit?usp=sharing"",""พิจิตร!M466"")"),24330.19)</f>
        <v>24330.19</v>
      </c>
      <c r="O571" s="178"/>
      <c r="P571" s="178"/>
    </row>
    <row r="572" spans="1:16" ht="21.75" customHeight="1" x14ac:dyDescent="0.3">
      <c r="A572" s="383"/>
      <c r="B572" s="384"/>
      <c r="C572" s="165"/>
      <c r="D572" s="385"/>
      <c r="E572" s="167"/>
      <c r="F572" s="167"/>
      <c r="G572" s="386" t="s">
        <v>134</v>
      </c>
      <c r="H572" s="169" t="s">
        <v>12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IFERROR(__xludf.DUMMYFUNCTION("IMPORTRANGE(""https://docs.google.com/spreadsheets/d/11923uPwbBZFjjGgGUA6NLw09EwE0CqkOc4q9oUmW1yo/edit?usp=sharing"",""พิจิตร!M467"")"),4376)</f>
        <v>4376</v>
      </c>
      <c r="O572" s="178"/>
      <c r="P572" s="178"/>
    </row>
    <row r="573" spans="1:16" ht="21.75" customHeight="1" x14ac:dyDescent="0.3">
      <c r="A573" s="185"/>
      <c r="B573" s="186"/>
      <c r="C573" s="186"/>
      <c r="D573" s="205"/>
      <c r="E573" s="204" t="s">
        <v>40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IFERROR(__xludf.DUMMYFUNCTION("IMPORTRANGE(""https://docs.google.com/spreadsheets/d/11923uPwbBZFjjGgGUA6NLw09EwE0CqkOc4q9oUmW1yo/edit?usp=sharing"",""พิจิตร!I468"")"),1100)</f>
        <v>1100</v>
      </c>
      <c r="J573" s="428">
        <f ca="1">IFERROR(__xludf.DUMMYFUNCTION("IMPORTRANGE(""https://docs.google.com/spreadsheets/d/11923uPwbBZFjjGgGUA6NLw09EwE0CqkOc4q9oUmW1yo/edit?usp=sharing"",""พิจิตร!J468"")"),671)</f>
        <v>671</v>
      </c>
      <c r="K573" s="211">
        <f ca="1">IF(I573&gt;0,J573*100/I573,0)</f>
        <v>61</v>
      </c>
      <c r="L573" s="191"/>
      <c r="M573" s="191"/>
      <c r="N573" s="191"/>
      <c r="O573" s="191"/>
      <c r="P573" s="191"/>
    </row>
    <row r="574" spans="1:16" ht="21.75" customHeight="1" x14ac:dyDescent="0.3">
      <c r="A574" s="185"/>
      <c r="B574" s="186"/>
      <c r="C574" s="186"/>
      <c r="D574" s="205"/>
      <c r="E574" s="205"/>
      <c r="F574" s="204" t="s">
        <v>210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3">
      <c r="A575" s="185"/>
      <c r="B575" s="186"/>
      <c r="C575" s="186"/>
      <c r="D575" s="205"/>
      <c r="E575" s="204" t="s">
        <v>40</v>
      </c>
      <c r="F575" s="204" t="s">
        <v>211</v>
      </c>
      <c r="G575" s="206"/>
      <c r="H575" s="483" t="s">
        <v>77</v>
      </c>
      <c r="I575" s="212">
        <f ca="1">IFERROR(__xludf.DUMMYFUNCTION("IMPORTRANGE(""https://docs.google.com/spreadsheets/d/11923uPwbBZFjjGgGUA6NLw09EwE0CqkOc4q9oUmW1yo/edit?usp=sharing"",""พิจิตร!I470"")"),0)</f>
        <v>0</v>
      </c>
      <c r="J575" s="207">
        <f ca="1">IFERROR(__xludf.DUMMYFUNCTION("IMPORTRANGE(""https://docs.google.com/spreadsheets/d/11923uPwbBZFjjGgGUA6NLw09EwE0CqkOc4q9oUmW1yo/edit?usp=sharing"",""พิจิตร!J470"")"),4)</f>
        <v>4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3">
      <c r="A576" s="185"/>
      <c r="B576" s="186"/>
      <c r="C576" s="186"/>
      <c r="D576" s="205"/>
      <c r="E576" s="205"/>
      <c r="F576" s="204" t="s">
        <v>212</v>
      </c>
      <c r="G576" s="206"/>
      <c r="H576" s="483" t="s">
        <v>37</v>
      </c>
      <c r="I576" s="212">
        <f ca="1">IFERROR(__xludf.DUMMYFUNCTION("IMPORTRANGE(""https://docs.google.com/spreadsheets/d/11923uPwbBZFjjGgGUA6NLw09EwE0CqkOc4q9oUmW1yo/edit?usp=sharing"",""พิจิตร!I471"")"),0)</f>
        <v>0</v>
      </c>
      <c r="J576" s="207">
        <f ca="1">IFERROR(__xludf.DUMMYFUNCTION("IMPORTRANGE(""https://docs.google.com/spreadsheets/d/11923uPwbBZFjjGgGUA6NLw09EwE0CqkOc4q9oUmW1yo/edit?usp=sharing"",""พิจิตร!J471"")"),95)</f>
        <v>95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3">
      <c r="A577" s="185"/>
      <c r="B577" s="186"/>
      <c r="C577" s="186"/>
      <c r="D577" s="205"/>
      <c r="E577" s="205"/>
      <c r="F577" s="204" t="s">
        <v>213</v>
      </c>
      <c r="G577" s="206"/>
      <c r="H577" s="483" t="s">
        <v>37</v>
      </c>
      <c r="I577" s="212">
        <f ca="1">IFERROR(__xludf.DUMMYFUNCTION("IMPORTRANGE(""https://docs.google.com/spreadsheets/d/11923uPwbBZFjjGgGUA6NLw09EwE0CqkOc4q9oUmW1yo/edit?usp=sharing"",""พิจิตร!I472"")"),0)</f>
        <v>0</v>
      </c>
      <c r="J577" s="198">
        <f ca="1">IFERROR(__xludf.DUMMYFUNCTION("IMPORTRANGE(""https://docs.google.com/spreadsheets/d/11923uPwbBZFjjGgGUA6NLw09EwE0CqkOc4q9oUmW1yo/edit?usp=sharing"",""พิจิตร!J472"")"),576)</f>
        <v>576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3">
      <c r="A578" s="185"/>
      <c r="B578" s="186"/>
      <c r="C578" s="186"/>
      <c r="D578" s="205"/>
      <c r="E578" s="205"/>
      <c r="F578" s="204" t="s">
        <v>214</v>
      </c>
      <c r="G578" s="429"/>
      <c r="H578" s="483" t="s">
        <v>37</v>
      </c>
      <c r="I578" s="212">
        <f ca="1">IFERROR(__xludf.DUMMYFUNCTION("IMPORTRANGE(""https://docs.google.com/spreadsheets/d/11923uPwbBZFjjGgGUA6NLw09EwE0CqkOc4q9oUmW1yo/edit?usp=sharing"",""พิจิตร!I473"")"),0)</f>
        <v>0</v>
      </c>
      <c r="J578" s="207">
        <f ca="1">IFERROR(__xludf.DUMMYFUNCTION("IMPORTRANGE(""https://docs.google.com/spreadsheets/d/11923uPwbBZFjjGgGUA6NLw09EwE0CqkOc4q9oUmW1yo/edit?usp=sharing"",""พิจิตร!J473"")"),0)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3">
      <c r="A579" s="185"/>
      <c r="B579" s="186"/>
      <c r="C579" s="186"/>
      <c r="D579" s="205"/>
      <c r="E579" s="205"/>
      <c r="F579" s="204" t="s">
        <v>215</v>
      </c>
      <c r="G579" s="429"/>
      <c r="H579" s="483" t="s">
        <v>37</v>
      </c>
      <c r="I579" s="212">
        <f ca="1">IFERROR(__xludf.DUMMYFUNCTION("IMPORTRANGE(""https://docs.google.com/spreadsheets/d/11923uPwbBZFjjGgGUA6NLw09EwE0CqkOc4q9oUmW1yo/edit?usp=sharing"",""พิจิตร!I474"")"),0)</f>
        <v>0</v>
      </c>
      <c r="J579" s="207">
        <f ca="1">IFERROR(__xludf.DUMMYFUNCTION("IMPORTRANGE(""https://docs.google.com/spreadsheets/d/11923uPwbBZFjjGgGUA6NLw09EwE0CqkOc4q9oUmW1yo/edit?usp=sharing"",""พิจิตร!J474"")"),0)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3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IFERROR(__xludf.DUMMYFUNCTION("IMPORTRANGE(""https://docs.google.com/spreadsheets/d/11923uPwbBZFjjGgGUA6NLw09EwE0CqkOc4q9oUmW1yo/edit?usp=sharing"",""พิจิตร!I475"")"),200)</f>
        <v>200</v>
      </c>
      <c r="J580" s="379">
        <f ca="1">IFERROR(__xludf.DUMMYFUNCTION("IMPORTRANGE(""https://docs.google.com/spreadsheets/d/11923uPwbBZFjjGgGUA6NLw09EwE0CqkOc4q9oUmW1yo/edit?usp=sharing"",""พิจิตร!J475"")"),5)</f>
        <v>5</v>
      </c>
      <c r="K580" s="380">
        <f ca="1">IF(I580&gt;0,J580*100/I580,0)</f>
        <v>2.5</v>
      </c>
      <c r="L580" s="381">
        <f ca="1">IFERROR(__xludf.DUMMYFUNCTION("IMPORTRANGE(""https://docs.google.com/spreadsheets/d/11923uPwbBZFjjGgGUA6NLw09EwE0CqkOc4q9oUmW1yo/edit?usp=sharing"",""พิจิตร!L475"")"),352400)</f>
        <v>352400</v>
      </c>
      <c r="M580" s="381"/>
      <c r="N580" s="381">
        <f ca="1">IFERROR(__xludf.DUMMYFUNCTION("IMPORTRANGE(""https://docs.google.com/spreadsheets/d/11923uPwbBZFjjGgGUA6NLw09EwE0CqkOc4q9oUmW1yo/edit?usp=sharing"",""พิจิตร!M475"")"),31411.64)</f>
        <v>31411.64</v>
      </c>
      <c r="O580" s="381">
        <f t="shared" ref="O580:O584" ca="1" si="124">+IF(L580&gt;0,N580*100/L580,0)</f>
        <v>8.9136322360953457</v>
      </c>
      <c r="P580" s="381"/>
    </row>
    <row r="581" spans="1:16" ht="21.75" customHeight="1" x14ac:dyDescent="0.3">
      <c r="A581" s="164"/>
      <c r="B581" s="165"/>
      <c r="C581" s="165" t="s">
        <v>16</v>
      </c>
      <c r="D581" s="166" t="s">
        <v>38</v>
      </c>
      <c r="E581" s="167"/>
      <c r="F581" s="167"/>
      <c r="G581" s="168" t="s">
        <v>39</v>
      </c>
      <c r="H581" s="169" t="s">
        <v>12</v>
      </c>
      <c r="I581" s="170" t="s">
        <v>40</v>
      </c>
      <c r="J581" s="170"/>
      <c r="K581" s="171"/>
      <c r="L581" s="172">
        <f ca="1">IFERROR(__xludf.DUMMYFUNCTION("IMPORTRANGE(""https://docs.google.com/spreadsheets/d/11923uPwbBZFjjGgGUA6NLw09EwE0CqkOc4q9oUmW1yo/edit?usp=sharing"",""พิจิตร!L476"")"),0)</f>
        <v>0</v>
      </c>
      <c r="M581" s="172"/>
      <c r="N581" s="178">
        <f ca="1">IFERROR(__xludf.DUMMYFUNCTION("IMPORTRANGE(""https://docs.google.com/spreadsheets/d/11923uPwbBZFjjGgGUA6NLw09EwE0CqkOc4q9oUmW1yo/edit?usp=sharing"",""พิจิตร!M476"")"),0)</f>
        <v>0</v>
      </c>
      <c r="O581" s="178">
        <f t="shared" ca="1" si="124"/>
        <v>0</v>
      </c>
      <c r="P581" s="178"/>
    </row>
    <row r="582" spans="1:16" ht="21.75" customHeight="1" x14ac:dyDescent="0.3">
      <c r="A582" s="164"/>
      <c r="B582" s="165"/>
      <c r="C582" s="165"/>
      <c r="D582" s="174"/>
      <c r="E582" s="167"/>
      <c r="F582" s="167" t="s">
        <v>40</v>
      </c>
      <c r="G582" s="168" t="s">
        <v>41</v>
      </c>
      <c r="H582" s="169" t="s">
        <v>12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IFERROR(__xludf.DUMMYFUNCTION("IMPORTRANGE(""https://docs.google.com/spreadsheets/d/11923uPwbBZFjjGgGUA6NLw09EwE0CqkOc4q9oUmW1yo/edit?usp=sharing"",""พิจิตร!L477"")"),352400)</f>
        <v>352400</v>
      </c>
      <c r="M582" s="173"/>
      <c r="N582" s="178">
        <f ca="1">IFERROR(__xludf.DUMMYFUNCTION("IMPORTRANGE(""https://docs.google.com/spreadsheets/d/11923uPwbBZFjjGgGUA6NLw09EwE0CqkOc4q9oUmW1yo/edit?usp=sharing"",""พิจิตร!M477"")"),31411.64)</f>
        <v>31411.64</v>
      </c>
      <c r="O582" s="178">
        <f t="shared" ca="1" si="124"/>
        <v>8.9136322360953457</v>
      </c>
      <c r="P582" s="178"/>
    </row>
    <row r="583" spans="1:16" ht="21.75" customHeight="1" x14ac:dyDescent="0.3">
      <c r="A583" s="164"/>
      <c r="B583" s="165"/>
      <c r="C583" s="165"/>
      <c r="D583" s="174"/>
      <c r="E583" s="167"/>
      <c r="F583" s="167"/>
      <c r="G583" s="382" t="s">
        <v>129</v>
      </c>
      <c r="H583" s="169" t="s">
        <v>12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IFERROR(__xludf.DUMMYFUNCTION("IMPORTRANGE(""https://docs.google.com/spreadsheets/d/11923uPwbBZFjjGgGUA6NLw09EwE0CqkOc4q9oUmW1yo/edit?usp=sharing"",""พิจิตร!L478"")"),0)</f>
        <v>0</v>
      </c>
      <c r="M583" s="178"/>
      <c r="N583" s="178">
        <f ca="1">IFERROR(__xludf.DUMMYFUNCTION("IMPORTRANGE(""https://docs.google.com/spreadsheets/d/11923uPwbBZFjjGgGUA6NLw09EwE0CqkOc4q9oUmW1yo/edit?usp=sharing"",""พิจิตร!M478"")"),0)</f>
        <v>0</v>
      </c>
      <c r="O583" s="178">
        <f t="shared" ca="1" si="124"/>
        <v>0</v>
      </c>
      <c r="P583" s="178"/>
    </row>
    <row r="584" spans="1:16" ht="21.75" customHeight="1" x14ac:dyDescent="0.3">
      <c r="A584" s="164"/>
      <c r="B584" s="165"/>
      <c r="C584" s="165"/>
      <c r="D584" s="174"/>
      <c r="E584" s="167"/>
      <c r="F584" s="167"/>
      <c r="G584" s="382" t="s">
        <v>130</v>
      </c>
      <c r="H584" s="169" t="s">
        <v>12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IFERROR(__xludf.DUMMYFUNCTION("IMPORTRANGE(""https://docs.google.com/spreadsheets/d/11923uPwbBZFjjGgGUA6NLw09EwE0CqkOc4q9oUmW1yo/edit?usp=sharing"",""พิจิตร!L479"")"),352400)</f>
        <v>352400</v>
      </c>
      <c r="M584" s="178"/>
      <c r="N584" s="178">
        <f ca="1">IFERROR(__xludf.DUMMYFUNCTION("IMPORTRANGE(""https://docs.google.com/spreadsheets/d/11923uPwbBZFjjGgGUA6NLw09EwE0CqkOc4q9oUmW1yo/edit?usp=sharing"",""พิจิตร!M479"")"),31411.64)</f>
        <v>31411.64</v>
      </c>
      <c r="O584" s="178">
        <f t="shared" ca="1" si="124"/>
        <v>8.9136322360953457</v>
      </c>
      <c r="P584" s="178"/>
    </row>
    <row r="585" spans="1:16" ht="21.75" customHeight="1" x14ac:dyDescent="0.3">
      <c r="A585" s="383"/>
      <c r="B585" s="384"/>
      <c r="C585" s="165"/>
      <c r="D585" s="385"/>
      <c r="E585" s="167"/>
      <c r="F585" s="167"/>
      <c r="G585" s="386" t="s">
        <v>131</v>
      </c>
      <c r="H585" s="169" t="s">
        <v>12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IFERROR(__xludf.DUMMYFUNCTION("IMPORTRANGE(""https://docs.google.com/spreadsheets/d/11923uPwbBZFjjGgGUA6NLw09EwE0CqkOc4q9oUmW1yo/edit?usp=sharing"",""พิจิตร!M480"")"),0)</f>
        <v>0</v>
      </c>
      <c r="O585" s="178"/>
      <c r="P585" s="178"/>
    </row>
    <row r="586" spans="1:16" ht="21.75" customHeight="1" x14ac:dyDescent="0.3">
      <c r="A586" s="383"/>
      <c r="B586" s="384"/>
      <c r="C586" s="165"/>
      <c r="D586" s="385"/>
      <c r="E586" s="167"/>
      <c r="F586" s="167"/>
      <c r="G586" s="386" t="s">
        <v>132</v>
      </c>
      <c r="H586" s="169" t="s">
        <v>12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IFERROR(__xludf.DUMMYFUNCTION("IMPORTRANGE(""https://docs.google.com/spreadsheets/d/11923uPwbBZFjjGgGUA6NLw09EwE0CqkOc4q9oUmW1yo/edit?usp=sharing"",""พิจิตร!M481"")"),0)</f>
        <v>0</v>
      </c>
      <c r="O586" s="178"/>
      <c r="P586" s="178"/>
    </row>
    <row r="587" spans="1:16" ht="21.75" customHeight="1" x14ac:dyDescent="0.3">
      <c r="A587" s="383"/>
      <c r="B587" s="384"/>
      <c r="C587" s="165"/>
      <c r="D587" s="385"/>
      <c r="E587" s="167"/>
      <c r="F587" s="167"/>
      <c r="G587" s="386" t="s">
        <v>133</v>
      </c>
      <c r="H587" s="169" t="s">
        <v>12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IFERROR(__xludf.DUMMYFUNCTION("IMPORTRANGE(""https://docs.google.com/spreadsheets/d/11923uPwbBZFjjGgGUA6NLw09EwE0CqkOc4q9oUmW1yo/edit?usp=sharing"",""พิจิตร!M482"")"),1960)</f>
        <v>1960</v>
      </c>
      <c r="O587" s="178"/>
      <c r="P587" s="178"/>
    </row>
    <row r="588" spans="1:16" ht="21.75" customHeight="1" x14ac:dyDescent="0.3">
      <c r="A588" s="383"/>
      <c r="B588" s="384"/>
      <c r="C588" s="165"/>
      <c r="D588" s="385"/>
      <c r="E588" s="167"/>
      <c r="F588" s="167"/>
      <c r="G588" s="386" t="s">
        <v>134</v>
      </c>
      <c r="H588" s="169" t="s">
        <v>12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IFERROR(__xludf.DUMMYFUNCTION("IMPORTRANGE(""https://docs.google.com/spreadsheets/d/11923uPwbBZFjjGgGUA6NLw09EwE0CqkOc4q9oUmW1yo/edit?usp=sharing"",""พิจิตร!M483"")"),29451.64)</f>
        <v>29451.64</v>
      </c>
      <c r="O588" s="178"/>
      <c r="P588" s="178"/>
    </row>
    <row r="589" spans="1:16" ht="21.75" customHeight="1" x14ac:dyDescent="0.3">
      <c r="A589" s="486"/>
      <c r="B589" s="174"/>
      <c r="C589" s="165"/>
      <c r="D589" s="299"/>
      <c r="E589" s="204" t="s">
        <v>217</v>
      </c>
      <c r="F589" s="205"/>
      <c r="G589" s="206"/>
      <c r="H589" s="190" t="s">
        <v>36</v>
      </c>
      <c r="I589" s="349">
        <f ca="1">IFERROR(__xludf.DUMMYFUNCTION("IMPORTRANGE(""https://docs.google.com/spreadsheets/d/11923uPwbBZFjjGgGUA6NLw09EwE0CqkOc4q9oUmW1yo/edit?usp=sharing"",""พิจิตร!I484"")"),200)</f>
        <v>200</v>
      </c>
      <c r="J589" s="197">
        <f ca="1">IFERROR(__xludf.DUMMYFUNCTION("IMPORTRANGE(""https://docs.google.com/spreadsheets/d/11923uPwbBZFjjGgGUA6NLw09EwE0CqkOc4q9oUmW1yo/edit?usp=sharing"",""พิจิตร!J484"")"),107)</f>
        <v>107</v>
      </c>
      <c r="K589" s="171">
        <f t="shared" ref="K589:K596" ca="1" si="125">IF(I589&gt;0,J589*100/I589,0)</f>
        <v>53.5</v>
      </c>
      <c r="L589" s="191"/>
      <c r="M589" s="191"/>
      <c r="N589" s="178"/>
      <c r="O589" s="191"/>
      <c r="P589" s="191"/>
    </row>
    <row r="590" spans="1:16" ht="21.75" customHeight="1" x14ac:dyDescent="0.3">
      <c r="A590" s="486"/>
      <c r="B590" s="174"/>
      <c r="C590" s="165"/>
      <c r="D590" s="299"/>
      <c r="E590" s="205"/>
      <c r="F590" s="205"/>
      <c r="G590" s="206"/>
      <c r="H590" s="190" t="s">
        <v>122</v>
      </c>
      <c r="I590" s="353">
        <f ca="1">IFERROR(__xludf.DUMMYFUNCTION("IMPORTRANGE(""https://docs.google.com/spreadsheets/d/11923uPwbBZFjjGgGUA6NLw09EwE0CqkOc4q9oUmW1yo/edit?usp=sharing"",""พิจิตร!I485"")"),0)</f>
        <v>0</v>
      </c>
      <c r="J590" s="197">
        <f ca="1">IFERROR(__xludf.DUMMYFUNCTION("IMPORTRANGE(""https://docs.google.com/spreadsheets/d/11923uPwbBZFjjGgGUA6NLw09EwE0CqkOc4q9oUmW1yo/edit?usp=sharing"",""พิจิตร!J485"")"),61.02)</f>
        <v>61.02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3">
      <c r="A591" s="486"/>
      <c r="B591" s="174"/>
      <c r="C591" s="165"/>
      <c r="D591" s="299"/>
      <c r="E591" s="204" t="s">
        <v>123</v>
      </c>
      <c r="F591" s="205"/>
      <c r="G591" s="206"/>
      <c r="H591" s="190" t="s">
        <v>37</v>
      </c>
      <c r="I591" s="349">
        <f ca="1">IFERROR(__xludf.DUMMYFUNCTION("IMPORTRANGE(""https://docs.google.com/spreadsheets/d/11923uPwbBZFjjGgGUA6NLw09EwE0CqkOc4q9oUmW1yo/edit?usp=sharing"",""พิจิตร!I486"")"),200)</f>
        <v>200</v>
      </c>
      <c r="J591" s="197">
        <f ca="1">IFERROR(__xludf.DUMMYFUNCTION("IMPORTRANGE(""https://docs.google.com/spreadsheets/d/11923uPwbBZFjjGgGUA6NLw09EwE0CqkOc4q9oUmW1yo/edit?usp=sharing"",""พิจิตร!J486"")"),5)</f>
        <v>5</v>
      </c>
      <c r="K591" s="171">
        <f t="shared" ca="1" si="125"/>
        <v>2.5</v>
      </c>
      <c r="L591" s="191"/>
      <c r="M591" s="191"/>
      <c r="N591" s="191"/>
      <c r="O591" s="191"/>
      <c r="P591" s="191"/>
    </row>
    <row r="592" spans="1:16" ht="21.75" customHeight="1" x14ac:dyDescent="0.3">
      <c r="A592" s="486"/>
      <c r="B592" s="174"/>
      <c r="C592" s="165"/>
      <c r="D592" s="299"/>
      <c r="E592" s="205"/>
      <c r="F592" s="205"/>
      <c r="G592" s="206"/>
      <c r="H592" s="190" t="s">
        <v>122</v>
      </c>
      <c r="I592" s="353">
        <f ca="1">IFERROR(__xludf.DUMMYFUNCTION("IMPORTRANGE(""https://docs.google.com/spreadsheets/d/11923uPwbBZFjjGgGUA6NLw09EwE0CqkOc4q9oUmW1yo/edit?usp=sharing"",""พิจิตร!I487"")"),0)</f>
        <v>0</v>
      </c>
      <c r="J592" s="197">
        <f ca="1">IFERROR(__xludf.DUMMYFUNCTION("IMPORTRANGE(""https://docs.google.com/spreadsheets/d/11923uPwbBZFjjGgGUA6NLw09EwE0CqkOc4q9oUmW1yo/edit?usp=sharing"",""พิจิตร!J487"")"),7.18)</f>
        <v>7.18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3">
      <c r="A593" s="486"/>
      <c r="B593" s="174"/>
      <c r="C593" s="165"/>
      <c r="D593" s="299"/>
      <c r="E593" s="204" t="s">
        <v>124</v>
      </c>
      <c r="F593" s="205"/>
      <c r="G593" s="206"/>
      <c r="H593" s="190" t="s">
        <v>37</v>
      </c>
      <c r="I593" s="349">
        <f ca="1">IFERROR(__xludf.DUMMYFUNCTION("IMPORTRANGE(""https://docs.google.com/spreadsheets/d/11923uPwbBZFjjGgGUA6NLw09EwE0CqkOc4q9oUmW1yo/edit?usp=sharing"",""พิจิตร!I488"")"),200)</f>
        <v>200</v>
      </c>
      <c r="J593" s="197">
        <f ca="1">IFERROR(__xludf.DUMMYFUNCTION("IMPORTRANGE(""https://docs.google.com/spreadsheets/d/11923uPwbBZFjjGgGUA6NLw09EwE0CqkOc4q9oUmW1yo/edit?usp=sharing"",""พิจิตร!J488"")"),0)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3">
      <c r="A594" s="486"/>
      <c r="B594" s="174"/>
      <c r="C594" s="165"/>
      <c r="D594" s="299"/>
      <c r="E594" s="205"/>
      <c r="F594" s="205"/>
      <c r="G594" s="206"/>
      <c r="H594" s="190" t="s">
        <v>122</v>
      </c>
      <c r="I594" s="353">
        <f ca="1">IFERROR(__xludf.DUMMYFUNCTION("IMPORTRANGE(""https://docs.google.com/spreadsheets/d/11923uPwbBZFjjGgGUA6NLw09EwE0CqkOc4q9oUmW1yo/edit?usp=sharing"",""พิจิตร!I489"")"),0)</f>
        <v>0</v>
      </c>
      <c r="J594" s="197">
        <f ca="1">IFERROR(__xludf.DUMMYFUNCTION("IMPORTRANGE(""https://docs.google.com/spreadsheets/d/11923uPwbBZFjjGgGUA6NLw09EwE0CqkOc4q9oUmW1yo/edit?usp=sharing"",""พิจิตร!J489"")"),0)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3">
      <c r="A595" s="486"/>
      <c r="B595" s="174"/>
      <c r="C595" s="165"/>
      <c r="D595" s="299"/>
      <c r="E595" s="204" t="s">
        <v>125</v>
      </c>
      <c r="F595" s="205"/>
      <c r="G595" s="206"/>
      <c r="H595" s="190" t="s">
        <v>37</v>
      </c>
      <c r="I595" s="349">
        <f ca="1">IFERROR(__xludf.DUMMYFUNCTION("IMPORTRANGE(""https://docs.google.com/spreadsheets/d/11923uPwbBZFjjGgGUA6NLw09EwE0CqkOc4q9oUmW1yo/edit?usp=sharing"",""พิจิตร!I490"")"),200)</f>
        <v>200</v>
      </c>
      <c r="J595" s="197">
        <f ca="1">IFERROR(__xludf.DUMMYFUNCTION("IMPORTRANGE(""https://docs.google.com/spreadsheets/d/11923uPwbBZFjjGgGUA6NLw09EwE0CqkOc4q9oUmW1yo/edit?usp=sharing"",""พิจิตร!J490"")"),5)</f>
        <v>5</v>
      </c>
      <c r="K595" s="171">
        <f t="shared" ca="1" si="125"/>
        <v>2.5</v>
      </c>
      <c r="L595" s="191"/>
      <c r="M595" s="191"/>
      <c r="N595" s="191"/>
      <c r="O595" s="191"/>
      <c r="P595" s="191"/>
    </row>
    <row r="596" spans="1:16" ht="21.75" customHeight="1" x14ac:dyDescent="0.3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IFERROR(__xludf.DUMMYFUNCTION("IMPORTRANGE(""https://docs.google.com/spreadsheets/d/11923uPwbBZFjjGgGUA6NLw09EwE0CqkOc4q9oUmW1yo/edit?usp=sharing"",""พิจิตร!I491"")"),0)</f>
        <v>0</v>
      </c>
      <c r="J596" s="250">
        <f ca="1">IFERROR(__xludf.DUMMYFUNCTION("IMPORTRANGE(""https://docs.google.com/spreadsheets/d/11923uPwbBZFjjGgGUA6NLw09EwE0CqkOc4q9oUmW1yo/edit?usp=sharing"",""พิจิตร!J491"")"),7.18)</f>
        <v>7.18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3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IFERROR(__xludf.DUMMYFUNCTION("IMPORTRANGE(""https://docs.google.com/spreadsheets/d/11923uPwbBZFjjGgGUA6NLw09EwE0CqkOc4q9oUmW1yo/edit?usp=sharing"",""พิจิตร!I492"")"),50)</f>
        <v>50</v>
      </c>
      <c r="J597" s="495">
        <f ca="1">IFERROR(__xludf.DUMMYFUNCTION("IMPORTRANGE(""https://docs.google.com/spreadsheets/d/11923uPwbBZFjjGgGUA6NLw09EwE0CqkOc4q9oUmW1yo/edit?usp=sharing"",""พิจิตร!J492"")"),0)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IFERROR(__xludf.DUMMYFUNCTION("IMPORTRANGE(""https://docs.google.com/spreadsheets/d/11923uPwbBZFjjGgGUA6NLw09EwE0CqkOc4q9oUmW1yo/edit?usp=sharing"",""พิจิตร!L492"")"),4550)</f>
        <v>4550</v>
      </c>
      <c r="M597" s="420"/>
      <c r="N597" s="420">
        <f ca="1">IFERROR(__xludf.DUMMYFUNCTION("IMPORTRANGE(""https://docs.google.com/spreadsheets/d/11923uPwbBZFjjGgGUA6NLw09EwE0CqkOc4q9oUmW1yo/edit?usp=sharing"",""พิจิตร!M492"")"),1794)</f>
        <v>1794</v>
      </c>
      <c r="O597" s="420">
        <f t="shared" ref="O597:O601" ca="1" si="126">+IF(L597&gt;0,N597*100/L597,0)</f>
        <v>39.428571428571431</v>
      </c>
      <c r="P597" s="420"/>
    </row>
    <row r="598" spans="1:16" ht="21.75" customHeight="1" x14ac:dyDescent="0.3">
      <c r="A598" s="164"/>
      <c r="B598" s="165"/>
      <c r="C598" s="165" t="s">
        <v>16</v>
      </c>
      <c r="D598" s="166" t="s">
        <v>38</v>
      </c>
      <c r="E598" s="167"/>
      <c r="F598" s="167"/>
      <c r="G598" s="168" t="s">
        <v>39</v>
      </c>
      <c r="H598" s="169" t="s">
        <v>12</v>
      </c>
      <c r="I598" s="170" t="s">
        <v>40</v>
      </c>
      <c r="J598" s="170"/>
      <c r="K598" s="171"/>
      <c r="L598" s="172">
        <f ca="1">IFERROR(__xludf.DUMMYFUNCTION("IMPORTRANGE(""https://docs.google.com/spreadsheets/d/11923uPwbBZFjjGgGUA6NLw09EwE0CqkOc4q9oUmW1yo/edit?usp=sharing"",""พิจิตร!L493"")"),0)</f>
        <v>0</v>
      </c>
      <c r="M598" s="172"/>
      <c r="N598" s="178">
        <f ca="1">IFERROR(__xludf.DUMMYFUNCTION("IMPORTRANGE(""https://docs.google.com/spreadsheets/d/11923uPwbBZFjjGgGUA6NLw09EwE0CqkOc4q9oUmW1yo/edit?usp=sharing"",""พิจิตร!M493"")"),0)</f>
        <v>0</v>
      </c>
      <c r="O598" s="178">
        <f t="shared" ca="1" si="126"/>
        <v>0</v>
      </c>
      <c r="P598" s="178"/>
    </row>
    <row r="599" spans="1:16" ht="21.75" customHeight="1" x14ac:dyDescent="0.3">
      <c r="A599" s="164"/>
      <c r="B599" s="165"/>
      <c r="C599" s="165"/>
      <c r="D599" s="174"/>
      <c r="E599" s="167"/>
      <c r="F599" s="167" t="s">
        <v>40</v>
      </c>
      <c r="G599" s="168" t="s">
        <v>41</v>
      </c>
      <c r="H599" s="169" t="s">
        <v>12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IFERROR(__xludf.DUMMYFUNCTION("IMPORTRANGE(""https://docs.google.com/spreadsheets/d/11923uPwbBZFjjGgGUA6NLw09EwE0CqkOc4q9oUmW1yo/edit?usp=sharing"",""พิจิตร!L494"")"),4550)</f>
        <v>4550</v>
      </c>
      <c r="M599" s="173"/>
      <c r="N599" s="178">
        <f ca="1">IFERROR(__xludf.DUMMYFUNCTION("IMPORTRANGE(""https://docs.google.com/spreadsheets/d/11923uPwbBZFjjGgGUA6NLw09EwE0CqkOc4q9oUmW1yo/edit?usp=sharing"",""พิจิตร!M494"")"),1794)</f>
        <v>1794</v>
      </c>
      <c r="O599" s="178">
        <f t="shared" ca="1" si="126"/>
        <v>39.428571428571431</v>
      </c>
      <c r="P599" s="178"/>
    </row>
    <row r="600" spans="1:16" ht="21.75" customHeight="1" x14ac:dyDescent="0.3">
      <c r="A600" s="164"/>
      <c r="B600" s="165"/>
      <c r="C600" s="165"/>
      <c r="D600" s="174"/>
      <c r="E600" s="167"/>
      <c r="F600" s="167"/>
      <c r="G600" s="382" t="s">
        <v>129</v>
      </c>
      <c r="H600" s="169" t="s">
        <v>12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IFERROR(__xludf.DUMMYFUNCTION("IMPORTRANGE(""https://docs.google.com/spreadsheets/d/11923uPwbBZFjjGgGUA6NLw09EwE0CqkOc4q9oUmW1yo/edit?usp=sharing"",""พิจิตร!L495"")"),0)</f>
        <v>0</v>
      </c>
      <c r="M600" s="178"/>
      <c r="N600" s="178">
        <f ca="1">IFERROR(__xludf.DUMMYFUNCTION("IMPORTRANGE(""https://docs.google.com/spreadsheets/d/11923uPwbBZFjjGgGUA6NLw09EwE0CqkOc4q9oUmW1yo/edit?usp=sharing"",""พิจิตร!M495"")"),0)</f>
        <v>0</v>
      </c>
      <c r="O600" s="178">
        <f t="shared" ca="1" si="126"/>
        <v>0</v>
      </c>
      <c r="P600" s="178"/>
    </row>
    <row r="601" spans="1:16" ht="21.75" customHeight="1" x14ac:dyDescent="0.3">
      <c r="A601" s="164"/>
      <c r="B601" s="165"/>
      <c r="C601" s="165"/>
      <c r="D601" s="174"/>
      <c r="E601" s="167"/>
      <c r="F601" s="167"/>
      <c r="G601" s="382" t="s">
        <v>130</v>
      </c>
      <c r="H601" s="169" t="s">
        <v>12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IFERROR(__xludf.DUMMYFUNCTION("IMPORTRANGE(""https://docs.google.com/spreadsheets/d/11923uPwbBZFjjGgGUA6NLw09EwE0CqkOc4q9oUmW1yo/edit?usp=sharing"",""พิจิตร!L496"")"),4550)</f>
        <v>4550</v>
      </c>
      <c r="M601" s="178"/>
      <c r="N601" s="178">
        <f ca="1">IFERROR(__xludf.DUMMYFUNCTION("IMPORTRANGE(""https://docs.google.com/spreadsheets/d/11923uPwbBZFjjGgGUA6NLw09EwE0CqkOc4q9oUmW1yo/edit?usp=sharing"",""พิจิตร!M496"")"),1794)</f>
        <v>1794</v>
      </c>
      <c r="O601" s="178">
        <f t="shared" ca="1" si="126"/>
        <v>39.428571428571431</v>
      </c>
      <c r="P601" s="178"/>
    </row>
    <row r="602" spans="1:16" ht="21.75" customHeight="1" x14ac:dyDescent="0.3">
      <c r="A602" s="383"/>
      <c r="B602" s="384"/>
      <c r="C602" s="165"/>
      <c r="D602" s="385"/>
      <c r="E602" s="167"/>
      <c r="F602" s="167"/>
      <c r="G602" s="386" t="s">
        <v>131</v>
      </c>
      <c r="H602" s="169" t="s">
        <v>12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IFERROR(__xludf.DUMMYFUNCTION("IMPORTRANGE(""https://docs.google.com/spreadsheets/d/11923uPwbBZFjjGgGUA6NLw09EwE0CqkOc4q9oUmW1yo/edit?usp=sharing"",""พิจิตร!M497"")"),0)</f>
        <v>0</v>
      </c>
      <c r="O602" s="178"/>
      <c r="P602" s="178"/>
    </row>
    <row r="603" spans="1:16" ht="21.75" customHeight="1" x14ac:dyDescent="0.3">
      <c r="A603" s="383"/>
      <c r="B603" s="384"/>
      <c r="C603" s="165"/>
      <c r="D603" s="385"/>
      <c r="E603" s="167"/>
      <c r="F603" s="167"/>
      <c r="G603" s="386" t="s">
        <v>132</v>
      </c>
      <c r="H603" s="169" t="s">
        <v>12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IFERROR(__xludf.DUMMYFUNCTION("IMPORTRANGE(""https://docs.google.com/spreadsheets/d/11923uPwbBZFjjGgGUA6NLw09EwE0CqkOc4q9oUmW1yo/edit?usp=sharing"",""พิจิตร!M498"")"),0)</f>
        <v>0</v>
      </c>
      <c r="O603" s="178"/>
      <c r="P603" s="178"/>
    </row>
    <row r="604" spans="1:16" ht="21.75" customHeight="1" x14ac:dyDescent="0.3">
      <c r="A604" s="383"/>
      <c r="B604" s="384"/>
      <c r="C604" s="165"/>
      <c r="D604" s="385"/>
      <c r="E604" s="167"/>
      <c r="F604" s="167"/>
      <c r="G604" s="386" t="s">
        <v>133</v>
      </c>
      <c r="H604" s="169" t="s">
        <v>12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IFERROR(__xludf.DUMMYFUNCTION("IMPORTRANGE(""https://docs.google.com/spreadsheets/d/11923uPwbBZFjjGgGUA6NLw09EwE0CqkOc4q9oUmW1yo/edit?usp=sharing"",""พิจิตร!M499"")"),0)</f>
        <v>0</v>
      </c>
      <c r="O604" s="178"/>
      <c r="P604" s="178"/>
    </row>
    <row r="605" spans="1:16" ht="21.75" customHeight="1" x14ac:dyDescent="0.3">
      <c r="A605" s="383"/>
      <c r="B605" s="384"/>
      <c r="C605" s="165"/>
      <c r="D605" s="385"/>
      <c r="E605" s="167"/>
      <c r="F605" s="167"/>
      <c r="G605" s="386" t="s">
        <v>134</v>
      </c>
      <c r="H605" s="169" t="s">
        <v>12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IFERROR(__xludf.DUMMYFUNCTION("IMPORTRANGE(""https://docs.google.com/spreadsheets/d/11923uPwbBZFjjGgGUA6NLw09EwE0CqkOc4q9oUmW1yo/edit?usp=sharing"",""พิจิตร!M500"")"),1794)</f>
        <v>1794</v>
      </c>
      <c r="O605" s="178"/>
      <c r="P605" s="178"/>
    </row>
    <row r="606" spans="1:16" ht="21.75" customHeight="1" x14ac:dyDescent="0.3">
      <c r="A606" s="185"/>
      <c r="B606" s="186"/>
      <c r="C606" s="165" t="s">
        <v>16</v>
      </c>
      <c r="D606" s="187" t="s">
        <v>44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3">
      <c r="A607" s="185"/>
      <c r="B607" s="186"/>
      <c r="C607" s="186"/>
      <c r="D607" s="192">
        <v>1</v>
      </c>
      <c r="E607" s="193" t="s">
        <v>45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IFERROR(__xludf.DUMMYFUNCTION("IMPORTRANGE(""https://docs.google.com/spreadsheets/d/11923uPwbBZFjjGgGUA6NLw09EwE0CqkOc4q9oUmW1yo/edit?usp=sharing"",""พิจิตร!J502"")"),0)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3">
      <c r="A608" s="185"/>
      <c r="B608" s="186"/>
      <c r="C608" s="186"/>
      <c r="D608" s="199">
        <v>2</v>
      </c>
      <c r="E608" s="200" t="s">
        <v>46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IFERROR(__xludf.DUMMYFUNCTION("IMPORTRANGE(""https://docs.google.com/spreadsheets/d/11923uPwbBZFjjGgGUA6NLw09EwE0CqkOc4q9oUmW1yo/edit?usp=sharing"",""พิจิตร!J503"")"),1)</f>
        <v>1</v>
      </c>
      <c r="K608" s="171"/>
      <c r="L608" s="191" t="s">
        <v>40</v>
      </c>
      <c r="M608" s="191"/>
      <c r="N608" s="191" t="s">
        <v>40</v>
      </c>
      <c r="O608" s="191"/>
      <c r="P608" s="191"/>
    </row>
    <row r="609" spans="1:16" ht="21.75" hidden="1" customHeight="1" x14ac:dyDescent="0.3">
      <c r="A609" s="496"/>
      <c r="B609" s="497"/>
      <c r="C609" s="497"/>
      <c r="D609" s="498"/>
      <c r="E609" s="499" t="s">
        <v>47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IFERROR(__xludf.DUMMYFUNCTION("IMPORTRANGE(""https://docs.google.com/spreadsheets/d/11923uPwbBZFjjGgGUA6NLw09EwE0CqkOc4q9oUmW1yo/edit?usp=sharing"",""พิจิตร!J166"")"),0)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3">
      <c r="A610" s="496"/>
      <c r="B610" s="497"/>
      <c r="C610" s="497"/>
      <c r="D610" s="498"/>
      <c r="E610" s="499" t="s">
        <v>48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IFERROR(__xludf.DUMMYFUNCTION("IMPORTRANGE(""https://docs.google.com/spreadsheets/d/11923uPwbBZFjjGgGUA6NLw09EwE0CqkOc4q9oUmW1yo/edit?usp=sharing"",""พิจิตร!J166"")"),0)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3">
      <c r="A611" s="185"/>
      <c r="B611" s="186"/>
      <c r="C611" s="186"/>
      <c r="D611" s="203"/>
      <c r="E611" s="205"/>
      <c r="F611" s="205" t="s">
        <v>219</v>
      </c>
      <c r="G611" s="206"/>
      <c r="H611" s="190" t="s">
        <v>122</v>
      </c>
      <c r="I611" s="197">
        <f ca="1">IFERROR(__xludf.DUMMYFUNCTION("IMPORTRANGE(""https://docs.google.com/spreadsheets/d/11923uPwbBZFjjGgGUA6NLw09EwE0CqkOc4q9oUmW1yo/edit?usp=sharing"",""พิจิตร!I506"")"),50)</f>
        <v>50</v>
      </c>
      <c r="J611" s="170">
        <f ca="1">IFERROR(__xludf.DUMMYFUNCTION("IMPORTRANGE(""https://docs.google.com/spreadsheets/d/11923uPwbBZFjjGgGUA6NLw09EwE0CqkOc4q9oUmW1yo/edit?usp=sharing"",""พิจิตร!J506"")"),0)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3">
      <c r="A612" s="185"/>
      <c r="B612" s="186"/>
      <c r="C612" s="186"/>
      <c r="D612" s="203"/>
      <c r="E612" s="208"/>
      <c r="F612" s="205"/>
      <c r="G612" s="235" t="s">
        <v>220</v>
      </c>
      <c r="H612" s="190" t="s">
        <v>122</v>
      </c>
      <c r="I612" s="213">
        <f ca="1">IFERROR(__xludf.DUMMYFUNCTION("IMPORTRANGE(""https://docs.google.com/spreadsheets/d/11923uPwbBZFjjGgGUA6NLw09EwE0CqkOc4q9oUmW1yo/edit?usp=sharing"",""พิจิตร!I507"")"),0)</f>
        <v>0</v>
      </c>
      <c r="J612" s="207">
        <f ca="1">IFERROR(__xludf.DUMMYFUNCTION("IMPORTRANGE(""https://docs.google.com/spreadsheets/d/11923uPwbBZFjjGgGUA6NLw09EwE0CqkOc4q9oUmW1yo/edit?usp=sharing"",""พิจิตร!J507"")"),0)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3">
      <c r="A613" s="185"/>
      <c r="B613" s="186"/>
      <c r="C613" s="186"/>
      <c r="D613" s="203"/>
      <c r="E613" s="208"/>
      <c r="F613" s="205"/>
      <c r="G613" s="235" t="s">
        <v>221</v>
      </c>
      <c r="H613" s="190" t="s">
        <v>122</v>
      </c>
      <c r="I613" s="213">
        <f ca="1">IFERROR(__xludf.DUMMYFUNCTION("IMPORTRANGE(""https://docs.google.com/spreadsheets/d/11923uPwbBZFjjGgGUA6NLw09EwE0CqkOc4q9oUmW1yo/edit?usp=sharing"",""พิจิตร!I508"")"),0)</f>
        <v>0</v>
      </c>
      <c r="J613" s="207">
        <f ca="1">IFERROR(__xludf.DUMMYFUNCTION("IMPORTRANGE(""https://docs.google.com/spreadsheets/d/11923uPwbBZFjjGgGUA6NLw09EwE0CqkOc4q9oUmW1yo/edit?usp=sharing"",""พิจิตร!J508"")"),0)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3">
      <c r="A614" s="185"/>
      <c r="B614" s="186"/>
      <c r="C614" s="186"/>
      <c r="D614" s="203"/>
      <c r="E614" s="208"/>
      <c r="F614" s="205"/>
      <c r="G614" s="235" t="s">
        <v>222</v>
      </c>
      <c r="H614" s="190" t="s">
        <v>122</v>
      </c>
      <c r="I614" s="213">
        <f ca="1">IFERROR(__xludf.DUMMYFUNCTION("IMPORTRANGE(""https://docs.google.com/spreadsheets/d/11923uPwbBZFjjGgGUA6NLw09EwE0CqkOc4q9oUmW1yo/edit?usp=sharing"",""พิจิตร!I509"")"),0)</f>
        <v>0</v>
      </c>
      <c r="J614" s="207">
        <f ca="1">IFERROR(__xludf.DUMMYFUNCTION("IMPORTRANGE(""https://docs.google.com/spreadsheets/d/11923uPwbBZFjjGgGUA6NLw09EwE0CqkOc4q9oUmW1yo/edit?usp=sharing"",""พิจิตร!J509"")"),0)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3">
      <c r="A615" s="185"/>
      <c r="B615" s="186"/>
      <c r="C615" s="186"/>
      <c r="D615" s="203"/>
      <c r="E615" s="208"/>
      <c r="F615" s="205"/>
      <c r="G615" s="235" t="s">
        <v>223</v>
      </c>
      <c r="H615" s="190" t="s">
        <v>122</v>
      </c>
      <c r="I615" s="213">
        <f ca="1">IFERROR(__xludf.DUMMYFUNCTION("IMPORTRANGE(""https://docs.google.com/spreadsheets/d/11923uPwbBZFjjGgGUA6NLw09EwE0CqkOc4q9oUmW1yo/edit?usp=sharing"",""พิจิตร!I510"")"),0)</f>
        <v>0</v>
      </c>
      <c r="J615" s="207">
        <f ca="1">IFERROR(__xludf.DUMMYFUNCTION("IMPORTRANGE(""https://docs.google.com/spreadsheets/d/11923uPwbBZFjjGgGUA6NLw09EwE0CqkOc4q9oUmW1yo/edit?usp=sharing"",""พิจิตร!J510"")"),0)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3">
      <c r="A616" s="185"/>
      <c r="B616" s="186"/>
      <c r="C616" s="186"/>
      <c r="D616" s="203"/>
      <c r="E616" s="208"/>
      <c r="F616" s="205"/>
      <c r="G616" s="204" t="s">
        <v>224</v>
      </c>
      <c r="H616" s="190" t="s">
        <v>122</v>
      </c>
      <c r="I616" s="213">
        <f ca="1">IFERROR(__xludf.DUMMYFUNCTION("IMPORTRANGE(""https://docs.google.com/spreadsheets/d/11923uPwbBZFjjGgGUA6NLw09EwE0CqkOc4q9oUmW1yo/edit?usp=sharing"",""พิจิตร!I511"")"),0)</f>
        <v>0</v>
      </c>
      <c r="J616" s="207">
        <f ca="1">IFERROR(__xludf.DUMMYFUNCTION("IMPORTRANGE(""https://docs.google.com/spreadsheets/d/11923uPwbBZFjjGgGUA6NLw09EwE0CqkOc4q9oUmW1yo/edit?usp=sharing"",""พิจิตร!J511"")"),0)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3">
      <c r="A617" s="185"/>
      <c r="B617" s="186"/>
      <c r="C617" s="186"/>
      <c r="D617" s="203"/>
      <c r="E617" s="208"/>
      <c r="F617" s="205"/>
      <c r="G617" s="204" t="s">
        <v>225</v>
      </c>
      <c r="H617" s="190" t="s">
        <v>122</v>
      </c>
      <c r="I617" s="197">
        <f ca="1">IFERROR(__xludf.DUMMYFUNCTION("IMPORTRANGE(""https://docs.google.com/spreadsheets/d/11923uPwbBZFjjGgGUA6NLw09EwE0CqkOc4q9oUmW1yo/edit?usp=sharing"",""พิจิตร!I512"")"),0)</f>
        <v>0</v>
      </c>
      <c r="J617" s="197">
        <f ca="1">IFERROR(__xludf.DUMMYFUNCTION("IMPORTRANGE(""https://docs.google.com/spreadsheets/d/11923uPwbBZFjjGgGUA6NLw09EwE0CqkOc4q9oUmW1yo/edit?usp=sharing"",""พิจิตร!J512"")"),0)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3">
      <c r="A618" s="185"/>
      <c r="B618" s="186"/>
      <c r="C618" s="186"/>
      <c r="D618" s="203"/>
      <c r="E618" s="208"/>
      <c r="F618" s="205"/>
      <c r="G618" s="506" t="s">
        <v>226</v>
      </c>
      <c r="H618" s="190" t="s">
        <v>122</v>
      </c>
      <c r="I618" s="213">
        <f ca="1">IFERROR(__xludf.DUMMYFUNCTION("IMPORTRANGE(""https://docs.google.com/spreadsheets/d/11923uPwbBZFjjGgGUA6NLw09EwE0CqkOc4q9oUmW1yo/edit?usp=sharing"",""พิจิตร!I513"")"),0)</f>
        <v>0</v>
      </c>
      <c r="J618" s="198">
        <f ca="1">IFERROR(__xludf.DUMMYFUNCTION("IMPORTRANGE(""https://docs.google.com/spreadsheets/d/11923uPwbBZFjjGgGUA6NLw09EwE0CqkOc4q9oUmW1yo/edit?usp=sharing"",""พิจิตร!J513"")"),0)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3">
      <c r="A619" s="185"/>
      <c r="B619" s="186"/>
      <c r="C619" s="186"/>
      <c r="D619" s="203"/>
      <c r="E619" s="208"/>
      <c r="F619" s="205"/>
      <c r="G619" s="506" t="s">
        <v>227</v>
      </c>
      <c r="H619" s="190" t="s">
        <v>122</v>
      </c>
      <c r="I619" s="213">
        <f ca="1">IFERROR(__xludf.DUMMYFUNCTION("IMPORTRANGE(""https://docs.google.com/spreadsheets/d/11923uPwbBZFjjGgGUA6NLw09EwE0CqkOc4q9oUmW1yo/edit?usp=sharing"",""พิจิตร!I514"")"),0)</f>
        <v>0</v>
      </c>
      <c r="J619" s="198">
        <f ca="1">IFERROR(__xludf.DUMMYFUNCTION("IMPORTRANGE(""https://docs.google.com/spreadsheets/d/11923uPwbBZFjjGgGUA6NLw09EwE0CqkOc4q9oUmW1yo/edit?usp=sharing"",""พิจิตร!J514"")"),0)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3">
      <c r="A620" s="185"/>
      <c r="B620" s="186"/>
      <c r="C620" s="186"/>
      <c r="D620" s="203"/>
      <c r="E620" s="205"/>
      <c r="F620" s="204" t="s">
        <v>228</v>
      </c>
      <c r="G620" s="206"/>
      <c r="H620" s="190" t="s">
        <v>122</v>
      </c>
      <c r="I620" s="197">
        <f ca="1">IFERROR(__xludf.DUMMYFUNCTION("IMPORTRANGE(""https://docs.google.com/spreadsheets/d/11923uPwbBZFjjGgGUA6NLw09EwE0CqkOc4q9oUmW1yo/edit?usp=sharing"",""พิจิตร!I515"")"),0)</f>
        <v>0</v>
      </c>
      <c r="J620" s="212">
        <f ca="1">IFERROR(__xludf.DUMMYFUNCTION("IMPORTRANGE(""https://docs.google.com/spreadsheets/d/11923uPwbBZFjjGgGUA6NLw09EwE0CqkOc4q9oUmW1yo/edit?usp=sharing"",""พิจิตร!J515"")"),0)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3">
      <c r="A621" s="185"/>
      <c r="B621" s="186"/>
      <c r="C621" s="186"/>
      <c r="D621" s="203"/>
      <c r="E621" s="208"/>
      <c r="F621" s="205"/>
      <c r="G621" s="235" t="s">
        <v>225</v>
      </c>
      <c r="H621" s="190" t="s">
        <v>122</v>
      </c>
      <c r="I621" s="212">
        <f ca="1">IFERROR(__xludf.DUMMYFUNCTION("IMPORTRANGE(""https://docs.google.com/spreadsheets/d/11923uPwbBZFjjGgGUA6NLw09EwE0CqkOc4q9oUmW1yo/edit?usp=sharing"",""พิจิตร!I516"")"),0)</f>
        <v>0</v>
      </c>
      <c r="J621" s="212">
        <f ca="1">IFERROR(__xludf.DUMMYFUNCTION("IMPORTRANGE(""https://docs.google.com/spreadsheets/d/11923uPwbBZFjjGgGUA6NLw09EwE0CqkOc4q9oUmW1yo/edit?usp=sharing"",""พิจิตร!J516"")"),0)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3">
      <c r="A622" s="185"/>
      <c r="B622" s="186"/>
      <c r="C622" s="186"/>
      <c r="D622" s="203"/>
      <c r="E622" s="208"/>
      <c r="F622" s="205"/>
      <c r="G622" s="506" t="s">
        <v>226</v>
      </c>
      <c r="H622" s="190" t="s">
        <v>122</v>
      </c>
      <c r="I622" s="213">
        <f ca="1">IFERROR(__xludf.DUMMYFUNCTION("IMPORTRANGE(""https://docs.google.com/spreadsheets/d/11923uPwbBZFjjGgGUA6NLw09EwE0CqkOc4q9oUmW1yo/edit?usp=sharing"",""พิจิตร!I517"")"),0)</f>
        <v>0</v>
      </c>
      <c r="J622" s="198">
        <f ca="1">IFERROR(__xludf.DUMMYFUNCTION("IMPORTRANGE(""https://docs.google.com/spreadsheets/d/11923uPwbBZFjjGgGUA6NLw09EwE0CqkOc4q9oUmW1yo/edit?usp=sharing"",""พิจิตร!J517"")"),0)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3">
      <c r="A623" s="185"/>
      <c r="B623" s="186"/>
      <c r="C623" s="186"/>
      <c r="D623" s="203"/>
      <c r="E623" s="208"/>
      <c r="F623" s="205"/>
      <c r="G623" s="506" t="s">
        <v>227</v>
      </c>
      <c r="H623" s="190" t="s">
        <v>122</v>
      </c>
      <c r="I623" s="213">
        <f ca="1">IFERROR(__xludf.DUMMYFUNCTION("IMPORTRANGE(""https://docs.google.com/spreadsheets/d/11923uPwbBZFjjGgGUA6NLw09EwE0CqkOc4q9oUmW1yo/edit?usp=sharing"",""พิจิตร!I518"")"),0)</f>
        <v>0</v>
      </c>
      <c r="J623" s="198">
        <f ca="1">IFERROR(__xludf.DUMMYFUNCTION("IMPORTRANGE(""https://docs.google.com/spreadsheets/d/11923uPwbBZFjjGgGUA6NLw09EwE0CqkOc4q9oUmW1yo/edit?usp=sharing"",""พิจิตร!J518"")"),0)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3">
      <c r="A624" s="185"/>
      <c r="B624" s="186"/>
      <c r="C624" s="186"/>
      <c r="D624" s="203"/>
      <c r="E624" s="208"/>
      <c r="F624" s="205"/>
      <c r="G624" s="235" t="s">
        <v>229</v>
      </c>
      <c r="H624" s="190" t="s">
        <v>122</v>
      </c>
      <c r="I624" s="197">
        <f ca="1">IFERROR(__xludf.DUMMYFUNCTION("IMPORTRANGE(""https://docs.google.com/spreadsheets/d/11923uPwbBZFjjGgGUA6NLw09EwE0CqkOc4q9oUmW1yo/edit?usp=sharing"",""พิจิตร!I519"")"),0)</f>
        <v>0</v>
      </c>
      <c r="J624" s="197">
        <f ca="1">IFERROR(__xludf.DUMMYFUNCTION("IMPORTRANGE(""https://docs.google.com/spreadsheets/d/11923uPwbBZFjjGgGUA6NLw09EwE0CqkOc4q9oUmW1yo/edit?usp=sharing"",""พิจิตร!J519"")"),0)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3">
      <c r="A625" s="185"/>
      <c r="B625" s="186"/>
      <c r="C625" s="186"/>
      <c r="D625" s="203"/>
      <c r="E625" s="208"/>
      <c r="F625" s="205"/>
      <c r="G625" s="506" t="s">
        <v>230</v>
      </c>
      <c r="H625" s="190" t="s">
        <v>122</v>
      </c>
      <c r="I625" s="213">
        <f ca="1">IFERROR(__xludf.DUMMYFUNCTION("IMPORTRANGE(""https://docs.google.com/spreadsheets/d/11923uPwbBZFjjGgGUA6NLw09EwE0CqkOc4q9oUmW1yo/edit?usp=sharing"",""พิจิตร!I520"")"),0)</f>
        <v>0</v>
      </c>
      <c r="J625" s="198">
        <f ca="1">IFERROR(__xludf.DUMMYFUNCTION("IMPORTRANGE(""https://docs.google.com/spreadsheets/d/11923uPwbBZFjjGgGUA6NLw09EwE0CqkOc4q9oUmW1yo/edit?usp=sharing"",""พิจิตร!J520"")"),0)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3">
      <c r="A626" s="185"/>
      <c r="B626" s="186"/>
      <c r="C626" s="186"/>
      <c r="D626" s="203"/>
      <c r="E626" s="208"/>
      <c r="F626" s="205"/>
      <c r="G626" s="506" t="s">
        <v>231</v>
      </c>
      <c r="H626" s="190" t="s">
        <v>122</v>
      </c>
      <c r="I626" s="213">
        <f ca="1">IFERROR(__xludf.DUMMYFUNCTION("IMPORTRANGE(""https://docs.google.com/spreadsheets/d/11923uPwbBZFjjGgGUA6NLw09EwE0CqkOc4q9oUmW1yo/edit?usp=sharing"",""พิจิตร!I521"")"),0)</f>
        <v>0</v>
      </c>
      <c r="J626" s="198">
        <f ca="1">IFERROR(__xludf.DUMMYFUNCTION("IMPORTRANGE(""https://docs.google.com/spreadsheets/d/11923uPwbBZFjjGgGUA6NLw09EwE0CqkOc4q9oUmW1yo/edit?usp=sharing"",""พิจิตร!J521"")"),0)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3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3">
      <c r="A628" s="486"/>
      <c r="B628" s="514" t="s">
        <v>233</v>
      </c>
      <c r="C628" s="165"/>
      <c r="D628" s="174"/>
      <c r="E628" s="167"/>
      <c r="F628" s="167"/>
      <c r="G628" s="168"/>
      <c r="H628" s="515" t="s">
        <v>12</v>
      </c>
      <c r="I628" s="349">
        <f ca="1">IFERROR(__xludf.DUMMYFUNCTION("IMPORTRANGE(""https://docs.google.com/spreadsheets/d/11923uPwbBZFjjGgGUA6NLw09EwE0CqkOc4q9oUmW1yo/edit?usp=sharing"",""พิจิตร!I523"")"),2520250)</f>
        <v>2520250</v>
      </c>
      <c r="J628" s="349">
        <f ca="1">IFERROR(__xludf.DUMMYFUNCTION("IMPORTRANGE(""https://docs.google.com/spreadsheets/d/11923uPwbBZFjjGgGUA6NLw09EwE0CqkOc4q9oUmW1yo/edit?usp=sharing"",""พิจิตร!J523"")"),40000)</f>
        <v>40000</v>
      </c>
      <c r="K628" s="350">
        <f t="shared" ref="K628:K635" ca="1" si="129">IF(I628&gt;0,J628*100/I628,0)</f>
        <v>1.587144132526535</v>
      </c>
      <c r="L628" s="350"/>
      <c r="M628" s="350"/>
      <c r="N628" s="350"/>
      <c r="O628" s="178"/>
      <c r="P628" s="178"/>
    </row>
    <row r="629" spans="1:16" ht="21.75" customHeight="1" x14ac:dyDescent="0.3">
      <c r="A629" s="486"/>
      <c r="B629" s="165"/>
      <c r="C629" s="165"/>
      <c r="D629" s="174"/>
      <c r="E629" s="167"/>
      <c r="F629" s="167"/>
      <c r="G629" s="168"/>
      <c r="H629" s="515" t="s">
        <v>37</v>
      </c>
      <c r="I629" s="349">
        <f ca="1">IFERROR(__xludf.DUMMYFUNCTION("IMPORTRANGE(""https://docs.google.com/spreadsheets/d/11923uPwbBZFjjGgGUA6NLw09EwE0CqkOc4q9oUmW1yo/edit?usp=sharing"",""พิจิตร!I524"")"),93)</f>
        <v>93</v>
      </c>
      <c r="J629" s="349">
        <f ca="1">IFERROR(__xludf.DUMMYFUNCTION("IMPORTRANGE(""https://docs.google.com/spreadsheets/d/11923uPwbBZFjjGgGUA6NLw09EwE0CqkOc4q9oUmW1yo/edit?usp=sharing"",""พิจิตร!J524"")"),2)</f>
        <v>2</v>
      </c>
      <c r="K629" s="350">
        <f t="shared" ca="1" si="129"/>
        <v>2.150537634408602</v>
      </c>
      <c r="L629" s="350"/>
      <c r="M629" s="350"/>
      <c r="N629" s="350"/>
      <c r="O629" s="178"/>
      <c r="P629" s="178"/>
    </row>
    <row r="630" spans="1:16" ht="21.75" customHeight="1" x14ac:dyDescent="0.3">
      <c r="A630" s="486"/>
      <c r="B630" s="514" t="s">
        <v>234</v>
      </c>
      <c r="C630" s="165"/>
      <c r="D630" s="174"/>
      <c r="E630" s="167"/>
      <c r="F630" s="167"/>
      <c r="G630" s="168"/>
      <c r="H630" s="515" t="s">
        <v>12</v>
      </c>
      <c r="I630" s="349">
        <f ca="1">IFERROR(__xludf.DUMMYFUNCTION("IMPORTRANGE(""https://docs.google.com/spreadsheets/d/11923uPwbBZFjjGgGUA6NLw09EwE0CqkOc4q9oUmW1yo/edit?usp=sharing"",""พิจิตร!I525"")"),510790.7)</f>
        <v>510790.7</v>
      </c>
      <c r="J630" s="349">
        <f ca="1">IFERROR(__xludf.DUMMYFUNCTION("IMPORTRANGE(""https://docs.google.com/spreadsheets/d/11923uPwbBZFjjGgGUA6NLw09EwE0CqkOc4q9oUmW1yo/edit?usp=sharing"",""พิจิตร!J525"")"),26839.75)</f>
        <v>26839.75</v>
      </c>
      <c r="K630" s="350">
        <f t="shared" ca="1" si="129"/>
        <v>5.2545494661512047</v>
      </c>
      <c r="L630" s="350"/>
      <c r="M630" s="350"/>
      <c r="N630" s="350"/>
      <c r="O630" s="178"/>
      <c r="P630" s="178"/>
    </row>
    <row r="631" spans="1:16" ht="21.75" customHeight="1" x14ac:dyDescent="0.3">
      <c r="A631" s="486"/>
      <c r="B631" s="165"/>
      <c r="C631" s="165"/>
      <c r="D631" s="174"/>
      <c r="E631" s="167"/>
      <c r="F631" s="167"/>
      <c r="G631" s="168"/>
      <c r="H631" s="515" t="s">
        <v>37</v>
      </c>
      <c r="I631" s="349">
        <f ca="1">IFERROR(__xludf.DUMMYFUNCTION("IMPORTRANGE(""https://docs.google.com/spreadsheets/d/11923uPwbBZFjjGgGUA6NLw09EwE0CqkOc4q9oUmW1yo/edit?usp=sharing"",""พิจิตร!I526"")"),29)</f>
        <v>29</v>
      </c>
      <c r="J631" s="349">
        <f ca="1">IFERROR(__xludf.DUMMYFUNCTION("IMPORTRANGE(""https://docs.google.com/spreadsheets/d/11923uPwbBZFjjGgGUA6NLw09EwE0CqkOc4q9oUmW1yo/edit?usp=sharing"",""พิจิตร!J526"")"),3)</f>
        <v>3</v>
      </c>
      <c r="K631" s="350">
        <f t="shared" ca="1" si="129"/>
        <v>10.344827586206897</v>
      </c>
      <c r="L631" s="350"/>
      <c r="M631" s="350"/>
      <c r="N631" s="350"/>
      <c r="O631" s="178"/>
      <c r="P631" s="178"/>
    </row>
    <row r="632" spans="1:16" ht="21.75" customHeight="1" x14ac:dyDescent="0.3">
      <c r="A632" s="486"/>
      <c r="B632" s="514" t="s">
        <v>235</v>
      </c>
      <c r="C632" s="165"/>
      <c r="D632" s="174"/>
      <c r="E632" s="167"/>
      <c r="F632" s="167"/>
      <c r="G632" s="168"/>
      <c r="H632" s="515" t="s">
        <v>12</v>
      </c>
      <c r="I632" s="349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49">
        <f ca="1">IFERROR(__xludf.DUMMYFUNCTION("IMPORTRANGE(""https://docs.google.com/spreadsheets/d/11923uPwbBZFjjGgGUA6NLw09EwE0CqkOc4q9oUmW1yo/edit?usp=sharing"",""พิจิตร!J527"")"),1533761.18)</f>
        <v>1533761.18</v>
      </c>
      <c r="K632" s="350">
        <f t="shared" ca="1" si="129"/>
        <v>24.976352716323643</v>
      </c>
      <c r="L632" s="350"/>
      <c r="M632" s="350"/>
      <c r="N632" s="350"/>
      <c r="O632" s="178"/>
      <c r="P632" s="178"/>
    </row>
    <row r="633" spans="1:16" ht="21.75" customHeight="1" x14ac:dyDescent="0.3">
      <c r="A633" s="486"/>
      <c r="B633" s="514"/>
      <c r="C633" s="165"/>
      <c r="D633" s="174"/>
      <c r="E633" s="167"/>
      <c r="F633" s="167"/>
      <c r="G633" s="168"/>
      <c r="H633" s="515" t="s">
        <v>37</v>
      </c>
      <c r="I633" s="349">
        <f ca="1">IFERROR(__xludf.DUMMYFUNCTION("IMPORTRANGE(""https://docs.google.com/spreadsheets/d/11923uPwbBZFjjGgGUA6NLw09EwE0CqkOc4q9oUmW1yo/edit?usp=sharing"",""พิจิตร!I528"")"),482)</f>
        <v>482</v>
      </c>
      <c r="J633" s="349">
        <f ca="1">IFERROR(__xludf.DUMMYFUNCTION("IMPORTRANGE(""https://docs.google.com/spreadsheets/d/11923uPwbBZFjjGgGUA6NLw09EwE0CqkOc4q9oUmW1yo/edit?usp=sharing"",""พิจิตร!J528"")"),177)</f>
        <v>177</v>
      </c>
      <c r="K633" s="350">
        <f t="shared" ca="1" si="129"/>
        <v>36.721991701244811</v>
      </c>
      <c r="L633" s="350"/>
      <c r="M633" s="350"/>
      <c r="N633" s="350"/>
      <c r="O633" s="178"/>
      <c r="P633" s="178"/>
    </row>
    <row r="634" spans="1:16" ht="21.75" customHeight="1" x14ac:dyDescent="0.3">
      <c r="A634" s="486"/>
      <c r="B634" s="514" t="s">
        <v>236</v>
      </c>
      <c r="C634" s="165"/>
      <c r="D634" s="174"/>
      <c r="E634" s="167"/>
      <c r="F634" s="167"/>
      <c r="G634" s="168"/>
      <c r="H634" s="515" t="s">
        <v>12</v>
      </c>
      <c r="I634" s="349">
        <f ca="1">IFERROR(__xludf.DUMMYFUNCTION("IMPORTRANGE(""https://docs.google.com/spreadsheets/d/11923uPwbBZFjjGgGUA6NLw09EwE0CqkOc4q9oUmW1yo/edit?usp=sharing"",""พิจิตร!I529"")"),2320000)</f>
        <v>2320000</v>
      </c>
      <c r="J634" s="349">
        <f ca="1">IFERROR(__xludf.DUMMYFUNCTION("IMPORTRANGE(""https://docs.google.com/spreadsheets/d/11923uPwbBZFjjGgGUA6NLw09EwE0CqkOc4q9oUmW1yo/edit?usp=sharing"",""พิจิตร!J529"")"),0)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3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IFERROR(__xludf.DUMMYFUNCTION("IMPORTRANGE(""https://docs.google.com/spreadsheets/d/11923uPwbBZFjjGgGUA6NLw09EwE0CqkOc4q9oUmW1yo/edit?usp=sharing"",""พิจิตร!I530"")"),87)</f>
        <v>87</v>
      </c>
      <c r="J635" s="519">
        <f ca="1">IFERROR(__xludf.DUMMYFUNCTION("IMPORTRANGE(""https://docs.google.com/spreadsheets/d/11923uPwbBZFjjGgGUA6NLw09EwE0CqkOc4q9oUmW1yo/edit?usp=sharing"",""พิจิตร!J530"")"),0)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3">
      <c r="A636" s="521"/>
      <c r="B636" s="521"/>
      <c r="C636" s="521"/>
      <c r="D636" s="521"/>
      <c r="E636" s="522" t="s">
        <v>237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3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3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3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3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3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3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3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3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3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3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3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3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3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3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3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3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3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3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3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3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3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3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3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3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3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3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3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3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3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3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3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3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3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3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3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3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3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3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3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3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3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3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3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3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3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3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3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3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3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3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3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3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3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3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3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3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3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3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3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3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3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3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3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3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3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3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3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3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3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3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3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3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3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3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3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3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3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3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3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3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3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3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3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3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3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3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3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3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3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3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3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3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3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3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3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3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3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3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3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3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3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3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3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3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3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3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3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3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3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3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3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3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3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3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3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3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3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3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3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3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3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3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3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3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3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3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3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3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3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3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3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3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3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3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3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3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3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3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3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3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3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3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3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3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3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3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3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3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3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3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3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3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3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3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3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3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3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3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3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3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3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3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3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3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3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3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3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3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3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3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3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3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3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3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3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3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3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3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3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3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3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3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3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3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3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3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3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3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3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3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3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3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3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3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3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3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3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3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3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3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3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3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3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3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3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3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3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3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3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3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3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3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3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3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3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3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3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3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3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3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3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3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3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3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3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3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3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3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3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3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3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3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3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3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3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3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3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3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3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3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3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3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3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3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3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3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3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3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3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3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3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3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3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3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3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3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3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3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3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3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3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3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3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3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3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3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3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3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3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3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3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3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3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3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3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3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3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3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3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3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3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3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3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3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3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3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3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3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3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3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3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3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3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3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3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3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3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3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3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3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3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3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3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3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3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3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3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3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3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3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3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3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3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3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3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3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3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3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3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3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3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3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3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3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3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3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3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3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3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3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3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3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3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3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3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3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3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3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3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3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3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3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3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3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3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3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3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3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3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3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3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3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3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3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3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3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3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3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3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3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3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3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3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3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3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3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3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3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3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3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3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3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3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3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3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3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3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3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3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3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3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3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3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3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3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3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3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3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3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3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3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3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3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3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3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3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3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3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3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3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3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3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3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3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3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3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3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3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3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3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3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3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3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3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3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3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3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3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3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3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3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3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3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3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3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3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3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3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3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3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3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3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3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3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3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3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3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3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3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3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3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3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3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3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3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3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3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3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3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3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3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3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3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3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3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3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3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3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3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3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3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3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3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3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3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3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3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3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3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3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3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3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3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3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3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3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3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3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3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3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3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3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3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3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3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3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3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3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3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3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3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3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3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3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3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3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3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3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3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3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3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3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3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3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3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3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3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18</vt:i4>
      </vt:variant>
      <vt:variant>
        <vt:lpstr>ช่วงที่มีชื่อ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เชียงใหม่!Print_Titles</vt:lpstr>
      <vt:lpstr>เชียงราย!Print_Titles</vt:lpstr>
      <vt:lpstr>เพชรบูรณ์!Print_Titles</vt:lpstr>
      <vt:lpstr>แพร่!Print_Titles</vt:lpstr>
      <vt:lpstr>แม่ฮ่องสอน!Print_Titles</vt:lpstr>
      <vt:lpstr>กำแพงเพชร!Print_Titles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BarbiezZesT Phanumphai</cp:lastModifiedBy>
  <cp:lastPrinted>2022-02-23T01:24:39Z</cp:lastPrinted>
  <dcterms:modified xsi:type="dcterms:W3CDTF">2022-02-23T01:27:28Z</dcterms:modified>
</cp:coreProperties>
</file>